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activeTab="0"/>
  </bookViews>
  <sheets>
    <sheet name="ATAX2021SG" sheetId="1" r:id="rId1"/>
  </sheets>
  <definedNames>
    <definedName name="\P">'ATAX2021SG'!$Q$26</definedName>
    <definedName name="ENTIRE">'ATAX2021SG'!$A$1:$N$135</definedName>
    <definedName name="G__P">'ATAX2021SG'!$A$1:$N$135</definedName>
    <definedName name="GOOD">'ATAX2021SG'!$P$25:$P$30</definedName>
    <definedName name="Macro2">#REF!</definedName>
    <definedName name="Macro3">#REF!</definedName>
    <definedName name="Macro4">#REF!</definedName>
    <definedName name="Macro5">#REF!</definedName>
    <definedName name="Macro6">'Print Macro'!$A$1</definedName>
    <definedName name="_xlnm.Print_Area" localSheetId="0">'ATAX2021SG'!$A$73:$M$144</definedName>
    <definedName name="PRINTMACRO">'ATAX2021SG'!$P$25:$R$31</definedName>
    <definedName name="RECORDER">'Print Macro'!$A:$A</definedName>
  </definedNames>
  <calcPr fullCalcOnLoad="1"/>
</workbook>
</file>

<file path=xl/sharedStrings.xml><?xml version="1.0" encoding="utf-8"?>
<sst xmlns="http://schemas.openxmlformats.org/spreadsheetml/2006/main" count="495" uniqueCount="261">
  <si>
    <t>NAME:</t>
  </si>
  <si>
    <t>NO GUARANTEE IS MADE FOR IT'S COMPLIANCE  WITH</t>
  </si>
  <si>
    <t>YEAR:</t>
  </si>
  <si>
    <t>FEDERAL OR STATE TAX LAWS</t>
  </si>
  <si>
    <t>RUN DATE:</t>
  </si>
  <si>
    <t>- 1/2 of the Self Employment Tax is deducted from Net Farm Income to calculate Taxable Income</t>
  </si>
  <si>
    <t xml:space="preserve">                       FARM  INCOME</t>
  </si>
  <si>
    <t xml:space="preserve">              FARM  EXPENSES</t>
  </si>
  <si>
    <t>Sales</t>
  </si>
  <si>
    <t>Projected</t>
  </si>
  <si>
    <t>Expenses</t>
  </si>
  <si>
    <t>to</t>
  </si>
  <si>
    <t>Added</t>
  </si>
  <si>
    <t>Total</t>
  </si>
  <si>
    <t xml:space="preserve">    to</t>
  </si>
  <si>
    <t>Date</t>
  </si>
  <si>
    <t>Income</t>
  </si>
  <si>
    <t>Sale of Lvstk or Items</t>
  </si>
  <si>
    <t>Breeding Fees</t>
  </si>
  <si>
    <t>Bought for Resale:</t>
  </si>
  <si>
    <t>Chemicals</t>
  </si>
  <si>
    <t>- Capital Loss Carryover and Net Operating Loss Carryover lines are retained.</t>
  </si>
  <si>
    <t>Cost Basis</t>
  </si>
  <si>
    <t>Crop Dry &amp; Other</t>
  </si>
  <si>
    <t xml:space="preserve">   PROFIT (LOSS)</t>
  </si>
  <si>
    <t>Crop Insurance</t>
  </si>
  <si>
    <t>FARM INCOME</t>
  </si>
  <si>
    <t>Feed Expense</t>
  </si>
  <si>
    <t>- To print worksheet - Click the PRINT button after you hit the HOME key.</t>
  </si>
  <si>
    <t>Fertilizer</t>
  </si>
  <si>
    <t>Cattle</t>
  </si>
  <si>
    <t>Gas, Fuel &amp; Oil</t>
  </si>
  <si>
    <t>Calves</t>
  </si>
  <si>
    <t>General Farm Exp.</t>
  </si>
  <si>
    <t>Farm Insurance</t>
  </si>
  <si>
    <t>Interest Paid</t>
  </si>
  <si>
    <t>Canola</t>
  </si>
  <si>
    <t>Machine Hire</t>
  </si>
  <si>
    <t>Pension, Profit Sharing</t>
  </si>
  <si>
    <t>Soybeans</t>
  </si>
  <si>
    <t>Rent Expense</t>
  </si>
  <si>
    <t>Corn</t>
  </si>
  <si>
    <t>Repairs</t>
  </si>
  <si>
    <t>Wheat</t>
  </si>
  <si>
    <t>Seed Expense</t>
  </si>
  <si>
    <t>Hay</t>
  </si>
  <si>
    <t>Supplies Purchased</t>
  </si>
  <si>
    <t>Real Estate Taxes</t>
  </si>
  <si>
    <t>Mach/Custom Work</t>
  </si>
  <si>
    <t>Trucking Hired</t>
  </si>
  <si>
    <t>Patronage Dividends</t>
  </si>
  <si>
    <t>Ultilities</t>
  </si>
  <si>
    <t>Per-Unit Retains</t>
  </si>
  <si>
    <t>Vet &amp; Medical Exp.</t>
  </si>
  <si>
    <t>Government Payments</t>
  </si>
  <si>
    <t>Other Expenses</t>
  </si>
  <si>
    <t>CCC Loans</t>
  </si>
  <si>
    <t>Fed/State Gas Tax Ref.</t>
  </si>
  <si>
    <t>Other Farm Income</t>
  </si>
  <si>
    <t>GROSS FARM INCOME</t>
  </si>
  <si>
    <t>TOTAL FM OPER. EXP.</t>
  </si>
  <si>
    <t>"Old" Depreciation (Input)     ----&gt;</t>
  </si>
  <si>
    <t xml:space="preserve">    XXXX</t>
  </si>
  <si>
    <t>"New" Depreciation (Calculated)</t>
  </si>
  <si>
    <t>FEDERAL TAX LOOKUP TABLES</t>
  </si>
  <si>
    <t>"Added New" Deprec (Calculated)</t>
  </si>
  <si>
    <t/>
  </si>
  <si>
    <t>"Expense" Option (Sec. 179 Exp)</t>
  </si>
  <si>
    <t>To</t>
  </si>
  <si>
    <t>TXI$</t>
  </si>
  <si>
    <t>Total Depreciation</t>
  </si>
  <si>
    <t>BASE TAX</t>
  </si>
  <si>
    <t>Total Farm Expense</t>
  </si>
  <si>
    <t>Interest Income</t>
  </si>
  <si>
    <t>NET FARM PROFIT</t>
  </si>
  <si>
    <t>MARGINAL%</t>
  </si>
  <si>
    <t>BASE$</t>
  </si>
  <si>
    <t xml:space="preserve">        SUB-TOTAL ------&gt;</t>
  </si>
  <si>
    <t xml:space="preserve">   -2-</t>
  </si>
  <si>
    <t xml:space="preserve">      CALCULATIONS (CONTINUED)</t>
  </si>
  <si>
    <t xml:space="preserve">    INCOMES (CONTINUED)</t>
  </si>
  <si>
    <t>PLAN 1</t>
  </si>
  <si>
    <t>PLAN 2</t>
  </si>
  <si>
    <t>DIFF</t>
  </si>
  <si>
    <t xml:space="preserve">SHORT TERM </t>
  </si>
  <si>
    <t>ESTIMATED NET FARM INCOME</t>
  </si>
  <si>
    <t>CAPITAL GAINS</t>
  </si>
  <si>
    <t>1/2 SELF EMPLOY. TAX</t>
  </si>
  <si>
    <t>TAXABLE ORD. FARM INCOME</t>
  </si>
  <si>
    <t>CAPITAL LOSS</t>
  </si>
  <si>
    <t>NON FARM INCOME</t>
  </si>
  <si>
    <t xml:space="preserve">      SUB-TOTAL-----&gt;</t>
  </si>
  <si>
    <t>TOTAL ORD. INCOME</t>
  </si>
  <si>
    <t>TAXABLE CAP. GAINS (Short Term)</t>
  </si>
  <si>
    <t>Capital gains regular</t>
  </si>
  <si>
    <t xml:space="preserve">     **</t>
  </si>
  <si>
    <t>TOTAL INCOME</t>
  </si>
  <si>
    <t>income base</t>
  </si>
  <si>
    <t>BASE....:</t>
  </si>
  <si>
    <t xml:space="preserve">   PROJECTED "NEW" DEPRECIATION FOR</t>
  </si>
  <si>
    <t xml:space="preserve">     ---</t>
  </si>
  <si>
    <t>DEDUCTIONS ---</t>
  </si>
  <si>
    <t>MARGINAL:</t>
  </si>
  <si>
    <t>RATE....:</t>
  </si>
  <si>
    <t>MAR. TAX:</t>
  </si>
  <si>
    <t>RETIREMENT PLAN PAYMENT .....</t>
  </si>
  <si>
    <t>BASE TAX:</t>
  </si>
  <si>
    <t>CHOOSE LIFE AND METHOD, MID YEAR OPTION</t>
  </si>
  <si>
    <t>total tax</t>
  </si>
  <si>
    <t>BOUGHT</t>
  </si>
  <si>
    <t>PROJ</t>
  </si>
  <si>
    <t>DEPR</t>
  </si>
  <si>
    <t>PROJ DEP</t>
  </si>
  <si>
    <t>TOTAL DEDUCTIONS</t>
  </si>
  <si>
    <t>Capital gains reduced</t>
  </si>
  <si>
    <t>3 YEAR FACRS</t>
  </si>
  <si>
    <t>----------&gt;&gt; ADJ. GROSS INCOME</t>
  </si>
  <si>
    <t>&lt;&lt;===</t>
  </si>
  <si>
    <t>total taxable</t>
  </si>
  <si>
    <t>3 YEAR SL</t>
  </si>
  <si>
    <t>taxable remaining</t>
  </si>
  <si>
    <t>5 YEAR FACRS</t>
  </si>
  <si>
    <t>5 YEAR SL</t>
  </si>
  <si>
    <t>7 YEAR FACRS</t>
  </si>
  <si>
    <t>NO. OF EXEMPTIONS:</t>
  </si>
  <si>
    <t>7 YEAR SL</t>
  </si>
  <si>
    <t>DOLLARS</t>
  </si>
  <si>
    <t>10 YEAR SL</t>
  </si>
  <si>
    <t>EST. TOTAL  TAXABLE INCOME</t>
  </si>
  <si>
    <t>20 YEAR SL BLDGS</t>
  </si>
  <si>
    <t>EST. TAXIBLE ORDINARY INCOME</t>
  </si>
  <si>
    <t>SUB TOTAL  ------&gt;</t>
  </si>
  <si>
    <t>IF MID QUARTER OPTION IS REQUIRED USE AREA BELOW</t>
  </si>
  <si>
    <t>DEPRECIATION LOOKUP TABLES</t>
  </si>
  <si>
    <t>FACRS, 150 DB METHOD</t>
  </si>
  <si>
    <t>LIFE  ENTER 3, 5, 7, 10, 20,</t>
  </si>
  <si>
    <t>QUARTER  ENTER 1, 2, 3, 4</t>
  </si>
  <si>
    <t>LIFE</t>
  </si>
  <si>
    <t>QUARTER</t>
  </si>
  <si>
    <t>CAPITAL GAINS TAX (REGULAR)</t>
  </si>
  <si>
    <t>CAPITAL GAINS TAX (REDUCED)</t>
  </si>
  <si>
    <t>FARM INC * SS RATE</t>
  </si>
  <si>
    <t>XXXX</t>
  </si>
  <si>
    <t>FARM INC * MED.RATE</t>
  </si>
  <si>
    <t>SUB TOTAL------&gt;</t>
  </si>
  <si>
    <t>OPTIONAL S.E. TAX</t>
  </si>
  <si>
    <t>S.E. TAX</t>
  </si>
  <si>
    <t>STRAIGHT LINE METHOD</t>
  </si>
  <si>
    <t>S.E. TAX TO PAY &gt;&gt;&gt;&gt;</t>
  </si>
  <si>
    <t>(3,5,7,10,25)(1-4)</t>
  </si>
  <si>
    <t xml:space="preserve">  PLAN 1</t>
  </si>
  <si>
    <t xml:space="preserve">  PLAN 2</t>
  </si>
  <si>
    <t xml:space="preserve">    DIFF</t>
  </si>
  <si>
    <t>MN TAXABLE INCOME</t>
  </si>
  <si>
    <t>MINN TAX LOOKUP TABLE</t>
  </si>
  <si>
    <t xml:space="preserve">SUB TOTAL -------&gt; </t>
  </si>
  <si>
    <t>TOTAL "NEW" DEPRECIATION --&gt;</t>
  </si>
  <si>
    <t>XXXXX</t>
  </si>
  <si>
    <t>TOTAL "ADDED NEW" DEPRECIATION -------&gt;</t>
  </si>
  <si>
    <t>MN BASE TAX</t>
  </si>
  <si>
    <t>MARGINAL $</t>
  </si>
  <si>
    <t>MARGINAL TAX</t>
  </si>
  <si>
    <t>TOTAL TAX</t>
  </si>
  <si>
    <t>Macro6</t>
  </si>
  <si>
    <t>Northland Community and Technical College, Minnesota State Colleges and Universities</t>
  </si>
  <si>
    <t>Disaster payment</t>
  </si>
  <si>
    <t>Milk Sales</t>
  </si>
  <si>
    <t>Other Livestock</t>
  </si>
  <si>
    <t>Gross Wages/Salaries</t>
  </si>
  <si>
    <t>Labor Hired/Benefits</t>
  </si>
  <si>
    <t>DHIA/Milk Marketing</t>
  </si>
  <si>
    <t>………</t>
  </si>
  <si>
    <t>……….</t>
  </si>
  <si>
    <t>……..</t>
  </si>
  <si>
    <t>THE ABOVE CALCULATIONS WILL NOT BE CORRECT,</t>
  </si>
  <si>
    <t>AS PERSONAL EXEMPTIONS WILL BE REDUCED.</t>
  </si>
  <si>
    <t>Developed by Duane Lemmon &amp; John Hest</t>
  </si>
  <si>
    <t>Social Security max calculation</t>
  </si>
  <si>
    <t xml:space="preserve"> </t>
  </si>
  <si>
    <t>SS Max Earnings</t>
  </si>
  <si>
    <t>Calculated SS Max (x .9235)</t>
  </si>
  <si>
    <t>taxes at 15%</t>
  </si>
  <si>
    <t>15 % taxable dollars</t>
  </si>
  <si>
    <t>INCOME</t>
  </si>
  <si>
    <t>LONG TERM CAPITAL</t>
  </si>
  <si>
    <t>DIVIDEND</t>
  </si>
  <si>
    <t>Capital Gains $ Break</t>
  </si>
  <si>
    <t>Return Type</t>
  </si>
  <si>
    <t>Year</t>
  </si>
  <si>
    <t>- Be sure to use the proper depreciation section for mid year and mid quarter depending on the time of purchase.</t>
  </si>
  <si>
    <t xml:space="preserve">   Straight line life for farm bldgs is 20 years. The total old depreciation must be input at J50 from your own schedule  </t>
  </si>
  <si>
    <t xml:space="preserve">   for items purchased prior to the current year.</t>
  </si>
  <si>
    <t>Total Ordinary Tax:</t>
  </si>
  <si>
    <t>Child Tax Credit:</t>
  </si>
  <si>
    <t>Standard Deduction</t>
  </si>
  <si>
    <t>Lifetime Learning Credit:</t>
  </si>
  <si>
    <t>Total Ordinary Tax After Credits:</t>
  </si>
  <si>
    <t>Child Tax Credit</t>
  </si>
  <si>
    <t>(Before EIC or Bonus Depreciation)</t>
  </si>
  <si>
    <t>Other Income</t>
  </si>
  <si>
    <t>Deferred Inc.- Prev. year</t>
  </si>
  <si>
    <t>Dollars of Capital Gains @15%</t>
  </si>
  <si>
    <t xml:space="preserve"> GAINS </t>
  </si>
  <si>
    <t>Misc Livestock</t>
  </si>
  <si>
    <t>Sugarbeets</t>
  </si>
  <si>
    <t>Sunflowers</t>
  </si>
  <si>
    <t>Northland Farm Business Management</t>
  </si>
  <si>
    <t>Depreciation Recap</t>
  </si>
  <si>
    <t>THE CHANGES THAT HAVE BEEN MADE IN THIS WORKSHEET ARE:</t>
  </si>
  <si>
    <t>Land Improvement</t>
  </si>
  <si>
    <t>Crop Ins. Income</t>
  </si>
  <si>
    <t>TAXABLE CAP. GAINS 0,15%</t>
  </si>
  <si>
    <t>Dollars of Capital Gains @ 0%</t>
  </si>
  <si>
    <r>
      <t xml:space="preserve">        </t>
    </r>
    <r>
      <rPr>
        <b/>
        <sz val="12"/>
        <color indexed="8"/>
        <rFont val="Arial"/>
        <family val="2"/>
      </rPr>
      <t>TAX PRIOR TO SE Tax-----&gt;</t>
    </r>
  </si>
  <si>
    <t>====&gt; GRAND TOTAL FED TAX---&gt;</t>
  </si>
  <si>
    <t>GRAND TOTAL "NEW" &amp; "ADDED NEW" DEPR.</t>
  </si>
  <si>
    <t>======&gt; ESTIMATED MN TAX --&gt;</t>
  </si>
  <si>
    <t>NET OPER LOSS Carryforward</t>
  </si>
  <si>
    <t>0% taxable dollars</t>
  </si>
  <si>
    <t>taxes at 0%</t>
  </si>
  <si>
    <t>Ryegrass</t>
  </si>
  <si>
    <t>CRP Income</t>
  </si>
  <si>
    <t>___________________</t>
  </si>
  <si>
    <t xml:space="preserve">-LIFETIME LEARNING CREDIT- 20% of eligible tuition and fees beyond the senior year of college. Enter </t>
  </si>
  <si>
    <t>Updated by Greg Dvergsten, Farm Business Management Instructor</t>
  </si>
  <si>
    <t>Dues and Fees</t>
  </si>
  <si>
    <t>BONUS Depreciation</t>
  </si>
  <si>
    <t xml:space="preserve">          (Input at E &amp; F 91)</t>
  </si>
  <si>
    <t>Deduction, Standard or Itemized</t>
  </si>
  <si>
    <t>Am. Opportunity Education Credit:</t>
  </si>
  <si>
    <t>On Asset Liquidation</t>
  </si>
  <si>
    <t>- There is no upper limit for Medicare Tax-New in 2013, extra 0.9% for earned income above $250,000(not in template calculations)</t>
  </si>
  <si>
    <t>Single Return</t>
  </si>
  <si>
    <t>NOTE: THESE RATES ARE ESTIMATED AS OF SEPTEMBER.</t>
  </si>
  <si>
    <t xml:space="preserve">             NONFARM &amp; OTHER INCOME</t>
  </si>
  <si>
    <t>100% HEALTH INS PREM / HSA….</t>
  </si>
  <si>
    <t xml:space="preserve">NOTE:WITH ADJUSTED GROSS INCOME OVER $254200  </t>
  </si>
  <si>
    <t>Rental Inc_Cull Cows</t>
  </si>
  <si>
    <t>- 100 % of Health Insur. Premium is deducted (On tax return, bottom of 1040 page 1)</t>
  </si>
  <si>
    <t>-American Opportunity CREDIT- applies to all four years of college. Enter eligible credit (manual calculation) in cells K116/L116.</t>
  </si>
  <si>
    <t xml:space="preserve">    amount of eligible credit in cells K117 and/or L117. (Maximum credit of $2,000 per tax return.)</t>
  </si>
  <si>
    <t>Sec. 199A (11-20% of QBI)</t>
  </si>
  <si>
    <t>- Maximum IRA plan contribution limits are $6,000 per individual under age 50, and $7,000 age 50 and over.</t>
  </si>
  <si>
    <t xml:space="preserve">         2022  FARM INCOME TAX PROJECTION WORKSHEET</t>
  </si>
  <si>
    <t>Bus Mileage 0.605</t>
  </si>
  <si>
    <t>CSP Income</t>
  </si>
  <si>
    <t>SECTION 179 TO EXPENSE  ($1,080,000) -----&gt;</t>
  </si>
  <si>
    <t>2022 TAX ESTIMATION WORKSHEET, AFTER READING BELOW PRESS      HOME</t>
  </si>
  <si>
    <t>- Self Emploment Tax is at 15.3% of .9235 X Net Farm Income w/ a max. of $147,000 for SS Tax</t>
  </si>
  <si>
    <t>- Standard bus mileage allowance is $0.585 for Jan through Jun, and $0.625 for Jul through Dec</t>
  </si>
  <si>
    <r>
      <t xml:space="preserve"> -The </t>
    </r>
    <r>
      <rPr>
        <b/>
        <u val="single"/>
        <sz val="11"/>
        <color indexed="12"/>
        <rFont val="Arial MT"/>
        <family val="0"/>
      </rPr>
      <t>standard deduction</t>
    </r>
    <r>
      <rPr>
        <b/>
        <sz val="11"/>
        <color indexed="12"/>
        <rFont val="Arial MT"/>
        <family val="0"/>
      </rPr>
      <t xml:space="preserve"> for Married filing joint return is $25,900 and single filer is $12,950 (Exemptions are no longer used)</t>
    </r>
  </si>
  <si>
    <t>-179 maximum deduction for 2022 is $1,080,000</t>
  </si>
  <si>
    <t>-179 Phase Out begins when Section 179 property exceeds $2,700,000</t>
  </si>
  <si>
    <t xml:space="preserve">- CHILD TAX CREDIT- $2,000/qualifying child as of Dec 31, 2022. </t>
  </si>
  <si>
    <t xml:space="preserve">            -Phase out for child tax credit begins at $200,000 for single filers &amp; $400,000 for joint filers</t>
  </si>
  <si>
    <t xml:space="preserve">   Credit is 100% of first $2,000 and 25% of second $2,000 of eligible tuition, fees and required books/supplies. Max credit $2500</t>
  </si>
  <si>
    <t xml:space="preserve">  (NOTE)-AOTC &amp; LLC phase out level for MFJ is $160,000 - $180,000 &amp; Single is $80,000 - $90,000</t>
  </si>
  <si>
    <t>- Health Savings Acct contr limits are $3650 individual and $7300 family under age 55. Note - add $1000 catch-up if age 55 or older.</t>
  </si>
  <si>
    <t>UPDATED 09/27/22</t>
  </si>
  <si>
    <t>….......</t>
  </si>
  <si>
    <t>…........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</si>
</sst>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0_)"/>
    <numFmt numFmtId="167" formatCode="0.0%"/>
  </numFmts>
  <fonts count="64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MT"/>
      <family val="0"/>
    </font>
    <font>
      <b/>
      <sz val="11"/>
      <color indexed="12"/>
      <name val="Arial MT"/>
      <family val="0"/>
    </font>
    <font>
      <sz val="11"/>
      <color indexed="8"/>
      <name val="Arial MT"/>
      <family val="0"/>
    </font>
    <font>
      <sz val="10"/>
      <color indexed="12"/>
      <name val="Courier"/>
      <family val="3"/>
    </font>
    <font>
      <sz val="12"/>
      <color indexed="12"/>
      <name val="Arial"/>
      <family val="2"/>
    </font>
    <font>
      <u val="single"/>
      <sz val="12"/>
      <color indexed="12"/>
      <name val="Arial"/>
      <family val="2"/>
    </font>
    <font>
      <b/>
      <sz val="18"/>
      <color indexed="8"/>
      <name val="Arial"/>
      <family val="2"/>
    </font>
    <font>
      <sz val="12"/>
      <color indexed="4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 MT"/>
      <family val="0"/>
    </font>
    <font>
      <b/>
      <sz val="12"/>
      <color indexed="8"/>
      <name val="Arial MT"/>
      <family val="0"/>
    </font>
    <font>
      <b/>
      <sz val="12"/>
      <color indexed="12"/>
      <name val="Arial"/>
      <family val="2"/>
    </font>
    <font>
      <b/>
      <u val="single"/>
      <sz val="11"/>
      <color indexed="12"/>
      <name val="Arial MT"/>
      <family val="0"/>
    </font>
    <font>
      <sz val="12"/>
      <color indexed="63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 MT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23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 MT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 MT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4999699890613556"/>
      <name val="Arial M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/>
      <right/>
      <top/>
      <bottom style="thin">
        <color indexed="8"/>
      </bottom>
    </border>
    <border>
      <left/>
      <right/>
      <top style="double">
        <color indexed="17"/>
      </top>
      <bottom/>
    </border>
    <border>
      <left/>
      <right/>
      <top style="medium">
        <color indexed="8"/>
      </top>
      <bottom/>
    </border>
    <border>
      <left/>
      <right/>
      <top/>
      <bottom style="double">
        <color indexed="12"/>
      </bottom>
    </border>
    <border>
      <left/>
      <right/>
      <top/>
      <bottom style="thin">
        <color indexed="12"/>
      </bottom>
    </border>
    <border>
      <left/>
      <right/>
      <top/>
      <bottom style="double">
        <color indexed="17"/>
      </bottom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9">
    <xf numFmtId="165" fontId="0" fillId="0" borderId="0" xfId="0" applyAlignment="1">
      <alignment/>
    </xf>
    <xf numFmtId="165" fontId="3" fillId="0" borderId="0" xfId="0" applyFont="1" applyAlignment="1" applyProtection="1">
      <alignment horizontal="centerContinuous"/>
      <protection/>
    </xf>
    <xf numFmtId="165" fontId="4" fillId="0" borderId="0" xfId="0" applyFont="1" applyAlignment="1" applyProtection="1">
      <alignment horizontal="centerContinuous"/>
      <protection/>
    </xf>
    <xf numFmtId="165" fontId="3" fillId="0" borderId="0" xfId="0" applyFont="1" applyAlignment="1" applyProtection="1">
      <alignment/>
      <protection/>
    </xf>
    <xf numFmtId="165" fontId="5" fillId="33" borderId="0" xfId="0" applyFont="1" applyFill="1" applyAlignment="1" applyProtection="1">
      <alignment/>
      <protection/>
    </xf>
    <xf numFmtId="165" fontId="6" fillId="33" borderId="0" xfId="0" applyFont="1" applyFill="1" applyAlignment="1" applyProtection="1">
      <alignment/>
      <protection/>
    </xf>
    <xf numFmtId="165" fontId="7" fillId="33" borderId="0" xfId="0" applyFont="1" applyFill="1" applyAlignment="1" applyProtection="1">
      <alignment/>
      <protection/>
    </xf>
    <xf numFmtId="165" fontId="4" fillId="0" borderId="0" xfId="0" applyFont="1" applyAlignment="1" applyProtection="1">
      <alignment/>
      <protection/>
    </xf>
    <xf numFmtId="165" fontId="6" fillId="33" borderId="10" xfId="0" applyFont="1" applyFill="1" applyBorder="1" applyAlignment="1" applyProtection="1">
      <alignment/>
      <protection/>
    </xf>
    <xf numFmtId="165" fontId="8" fillId="0" borderId="0" xfId="0" applyFont="1" applyAlignment="1" applyProtection="1">
      <alignment/>
      <protection locked="0"/>
    </xf>
    <xf numFmtId="165" fontId="9" fillId="0" borderId="0" xfId="0" applyFont="1" applyAlignment="1" applyProtection="1">
      <alignment/>
      <protection locked="0"/>
    </xf>
    <xf numFmtId="165" fontId="9" fillId="0" borderId="0" xfId="0" applyFont="1" applyAlignment="1" applyProtection="1">
      <alignment horizontal="right"/>
      <protection locked="0"/>
    </xf>
    <xf numFmtId="165" fontId="6" fillId="33" borderId="11" xfId="0" applyFont="1" applyFill="1" applyBorder="1" applyAlignment="1" applyProtection="1">
      <alignment/>
      <protection/>
    </xf>
    <xf numFmtId="165" fontId="4" fillId="0" borderId="0" xfId="0" applyFont="1" applyAlignment="1" applyProtection="1">
      <alignment horizontal="right"/>
      <protection/>
    </xf>
    <xf numFmtId="165" fontId="10" fillId="0" borderId="0" xfId="0" applyFont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 locked="0"/>
    </xf>
    <xf numFmtId="165" fontId="4" fillId="0" borderId="12" xfId="0" applyFont="1" applyBorder="1" applyAlignment="1" applyProtection="1">
      <alignment/>
      <protection/>
    </xf>
    <xf numFmtId="165" fontId="4" fillId="0" borderId="0" xfId="0" applyFont="1" applyAlignment="1" applyProtection="1">
      <alignment horizontal="center"/>
      <protection/>
    </xf>
    <xf numFmtId="165" fontId="4" fillId="0" borderId="13" xfId="0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4" fillId="0" borderId="11" xfId="0" applyFont="1" applyBorder="1" applyAlignment="1" applyProtection="1">
      <alignment/>
      <protection/>
    </xf>
    <xf numFmtId="165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 locked="0"/>
    </xf>
    <xf numFmtId="165" fontId="9" fillId="0" borderId="0" xfId="0" applyNumberFormat="1" applyFont="1" applyAlignment="1" applyProtection="1">
      <alignment/>
      <protection locked="0"/>
    </xf>
    <xf numFmtId="165" fontId="4" fillId="0" borderId="14" xfId="0" applyFont="1" applyBorder="1" applyAlignment="1" applyProtection="1">
      <alignment/>
      <protection/>
    </xf>
    <xf numFmtId="165" fontId="4" fillId="0" borderId="14" xfId="0" applyFont="1" applyBorder="1" applyAlignment="1" applyProtection="1">
      <alignment horizontal="right"/>
      <protection/>
    </xf>
    <xf numFmtId="166" fontId="5" fillId="0" borderId="0" xfId="0" applyNumberFormat="1" applyFont="1" applyAlignment="1" applyProtection="1">
      <alignment/>
      <protection/>
    </xf>
    <xf numFmtId="165" fontId="5" fillId="0" borderId="0" xfId="0" applyFont="1" applyAlignment="1" applyProtection="1">
      <alignment horizontal="right"/>
      <protection/>
    </xf>
    <xf numFmtId="165" fontId="4" fillId="0" borderId="0" xfId="0" applyFont="1" applyAlignment="1">
      <alignment/>
    </xf>
    <xf numFmtId="165" fontId="3" fillId="0" borderId="0" xfId="0" applyFont="1" applyAlignment="1" applyProtection="1">
      <alignment horizontal="right"/>
      <protection/>
    </xf>
    <xf numFmtId="165" fontId="9" fillId="0" borderId="14" xfId="0" applyFont="1" applyBorder="1" applyAlignment="1" applyProtection="1">
      <alignment/>
      <protection locked="0"/>
    </xf>
    <xf numFmtId="165" fontId="4" fillId="0" borderId="14" xfId="0" applyNumberFormat="1" applyFont="1" applyBorder="1" applyAlignment="1" applyProtection="1">
      <alignment/>
      <protection/>
    </xf>
    <xf numFmtId="165" fontId="9" fillId="0" borderId="14" xfId="0" applyFont="1" applyBorder="1" applyAlignment="1" applyProtection="1">
      <alignment horizontal="right"/>
      <protection locked="0"/>
    </xf>
    <xf numFmtId="165" fontId="4" fillId="0" borderId="14" xfId="0" applyFont="1" applyBorder="1" applyAlignment="1">
      <alignment/>
    </xf>
    <xf numFmtId="165" fontId="4" fillId="0" borderId="0" xfId="0" applyFont="1" applyAlignment="1" applyProtection="1">
      <alignment horizontal="left"/>
      <protection/>
    </xf>
    <xf numFmtId="165" fontId="4" fillId="33" borderId="0" xfId="0" applyFont="1" applyFill="1" applyAlignment="1" applyProtection="1">
      <alignment/>
      <protection/>
    </xf>
    <xf numFmtId="165" fontId="4" fillId="33" borderId="0" xfId="0" applyNumberFormat="1" applyFont="1" applyFill="1" applyAlignment="1" applyProtection="1">
      <alignment/>
      <protection/>
    </xf>
    <xf numFmtId="165" fontId="4" fillId="0" borderId="15" xfId="0" applyFont="1" applyBorder="1" applyAlignment="1">
      <alignment/>
    </xf>
    <xf numFmtId="7" fontId="4" fillId="0" borderId="0" xfId="0" applyNumberFormat="1" applyFont="1" applyAlignment="1" applyProtection="1">
      <alignment/>
      <protection/>
    </xf>
    <xf numFmtId="165" fontId="4" fillId="33" borderId="0" xfId="0" applyFont="1" applyFill="1" applyAlignment="1">
      <alignment/>
    </xf>
    <xf numFmtId="165" fontId="4" fillId="34" borderId="0" xfId="0" applyNumberFormat="1" applyFont="1" applyFill="1" applyAlignment="1" applyProtection="1">
      <alignment/>
      <protection/>
    </xf>
    <xf numFmtId="165" fontId="4" fillId="33" borderId="14" xfId="0" applyNumberFormat="1" applyFont="1" applyFill="1" applyBorder="1" applyAlignment="1" applyProtection="1">
      <alignment/>
      <protection locked="0"/>
    </xf>
    <xf numFmtId="165" fontId="4" fillId="33" borderId="14" xfId="0" applyNumberFormat="1" applyFont="1" applyFill="1" applyBorder="1" applyAlignment="1" applyProtection="1">
      <alignment/>
      <protection/>
    </xf>
    <xf numFmtId="165" fontId="4" fillId="33" borderId="16" xfId="0" applyFont="1" applyFill="1" applyBorder="1" applyAlignment="1" applyProtection="1">
      <alignment/>
      <protection/>
    </xf>
    <xf numFmtId="165" fontId="4" fillId="33" borderId="16" xfId="0" applyNumberFormat="1" applyFont="1" applyFill="1" applyBorder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5" fontId="9" fillId="0" borderId="12" xfId="0" applyFont="1" applyBorder="1" applyAlignment="1" applyProtection="1">
      <alignment/>
      <protection locked="0"/>
    </xf>
    <xf numFmtId="9" fontId="5" fillId="0" borderId="0" xfId="59" applyFont="1" applyAlignment="1" applyProtection="1">
      <alignment/>
      <protection/>
    </xf>
    <xf numFmtId="165" fontId="6" fillId="33" borderId="0" xfId="0" applyFont="1" applyFill="1" applyAlignment="1" applyProtection="1" quotePrefix="1">
      <alignment/>
      <protection/>
    </xf>
    <xf numFmtId="167" fontId="5" fillId="0" borderId="0" xfId="0" applyNumberFormat="1" applyFont="1" applyAlignment="1" applyProtection="1">
      <alignment/>
      <protection/>
    </xf>
    <xf numFmtId="167" fontId="5" fillId="0" borderId="0" xfId="59" applyNumberFormat="1" applyFont="1" applyAlignment="1" applyProtection="1">
      <alignment/>
      <protection/>
    </xf>
    <xf numFmtId="167" fontId="4" fillId="0" borderId="0" xfId="59" applyNumberFormat="1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165" fontId="12" fillId="0" borderId="0" xfId="0" applyFont="1" applyAlignment="1" applyProtection="1">
      <alignment/>
      <protection locked="0"/>
    </xf>
    <xf numFmtId="165" fontId="12" fillId="0" borderId="0" xfId="0" applyNumberFormat="1" applyFont="1" applyAlignment="1" applyProtection="1">
      <alignment/>
      <protection locked="0"/>
    </xf>
    <xf numFmtId="165" fontId="13" fillId="0" borderId="0" xfId="0" applyFont="1" applyAlignment="1" applyProtection="1">
      <alignment/>
      <protection/>
    </xf>
    <xf numFmtId="165" fontId="14" fillId="0" borderId="0" xfId="0" applyFont="1" applyAlignment="1" applyProtection="1">
      <alignment/>
      <protection/>
    </xf>
    <xf numFmtId="165" fontId="13" fillId="0" borderId="0" xfId="0" applyFont="1" applyAlignment="1" applyProtection="1" quotePrefix="1">
      <alignment/>
      <protection/>
    </xf>
    <xf numFmtId="165" fontId="13" fillId="0" borderId="0" xfId="0" applyNumberFormat="1" applyFont="1" applyAlignment="1" applyProtection="1">
      <alignment/>
      <protection/>
    </xf>
    <xf numFmtId="165" fontId="15" fillId="0" borderId="0" xfId="0" applyFont="1" applyAlignment="1">
      <alignment/>
    </xf>
    <xf numFmtId="166" fontId="16" fillId="0" borderId="0" xfId="0" applyNumberFormat="1" applyFont="1" applyAlignment="1" applyProtection="1">
      <alignment/>
      <protection/>
    </xf>
    <xf numFmtId="167" fontId="16" fillId="0" borderId="0" xfId="0" applyNumberFormat="1" applyFont="1" applyAlignment="1" applyProtection="1">
      <alignment/>
      <protection/>
    </xf>
    <xf numFmtId="165" fontId="17" fillId="0" borderId="12" xfId="0" applyFont="1" applyBorder="1" applyAlignment="1" applyProtection="1">
      <alignment/>
      <protection locked="0"/>
    </xf>
    <xf numFmtId="165" fontId="5" fillId="0" borderId="0" xfId="0" applyFont="1" applyAlignment="1" applyProtection="1" quotePrefix="1">
      <alignment/>
      <protection/>
    </xf>
    <xf numFmtId="165" fontId="0" fillId="0" borderId="0" xfId="0" applyAlignment="1" quotePrefix="1">
      <alignment/>
    </xf>
    <xf numFmtId="165" fontId="13" fillId="0" borderId="0" xfId="0" applyFont="1" applyAlignment="1">
      <alignment/>
    </xf>
    <xf numFmtId="165" fontId="4" fillId="0" borderId="0" xfId="0" applyFont="1" applyAlignment="1" applyProtection="1">
      <alignment horizontal="right"/>
      <protection locked="0"/>
    </xf>
    <xf numFmtId="165" fontId="19" fillId="0" borderId="0" xfId="0" applyFont="1" applyAlignment="1" applyProtection="1">
      <alignment/>
      <protection/>
    </xf>
    <xf numFmtId="165" fontId="20" fillId="0" borderId="0" xfId="0" applyFont="1" applyAlignment="1" applyProtection="1">
      <alignment horizontal="center"/>
      <protection/>
    </xf>
    <xf numFmtId="165" fontId="21" fillId="0" borderId="0" xfId="0" applyFont="1" applyAlignment="1" applyProtection="1">
      <alignment/>
      <protection/>
    </xf>
    <xf numFmtId="165" fontId="4" fillId="0" borderId="14" xfId="0" applyFont="1" applyBorder="1" applyAlignment="1" applyProtection="1">
      <alignment/>
      <protection locked="0"/>
    </xf>
    <xf numFmtId="165" fontId="12" fillId="0" borderId="14" xfId="0" applyFont="1" applyBorder="1" applyAlignment="1" applyProtection="1">
      <alignment horizontal="right"/>
      <protection locked="0"/>
    </xf>
    <xf numFmtId="165" fontId="9" fillId="0" borderId="0" xfId="0" applyFont="1" applyAlignment="1" applyProtection="1">
      <alignment horizontal="left"/>
      <protection locked="0"/>
    </xf>
    <xf numFmtId="165" fontId="4" fillId="0" borderId="14" xfId="0" applyFont="1" applyBorder="1" applyAlignment="1" applyProtection="1">
      <alignment horizontal="left"/>
      <protection/>
    </xf>
    <xf numFmtId="165" fontId="22" fillId="0" borderId="0" xfId="0" applyFont="1" applyAlignment="1">
      <alignment/>
    </xf>
    <xf numFmtId="165" fontId="23" fillId="0" borderId="0" xfId="0" applyFont="1" applyAlignment="1">
      <alignment/>
    </xf>
    <xf numFmtId="165" fontId="24" fillId="0" borderId="0" xfId="0" applyFont="1" applyAlignment="1" applyProtection="1">
      <alignment/>
      <protection locked="0"/>
    </xf>
    <xf numFmtId="165" fontId="13" fillId="33" borderId="0" xfId="0" applyFont="1" applyFill="1" applyAlignment="1" applyProtection="1" quotePrefix="1">
      <alignment/>
      <protection/>
    </xf>
    <xf numFmtId="165" fontId="12" fillId="0" borderId="14" xfId="0" applyFont="1" applyBorder="1" applyAlignment="1" applyProtection="1">
      <alignment/>
      <protection locked="0"/>
    </xf>
    <xf numFmtId="165" fontId="13" fillId="0" borderId="0" xfId="0" applyFont="1" applyAlignment="1" applyProtection="1">
      <alignment/>
      <protection locked="0"/>
    </xf>
    <xf numFmtId="165" fontId="13" fillId="0" borderId="0" xfId="0" applyFont="1" applyAlignment="1" applyProtection="1" quotePrefix="1">
      <alignment/>
      <protection locked="0"/>
    </xf>
    <xf numFmtId="165" fontId="5" fillId="0" borderId="0" xfId="0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165" fontId="63" fillId="35" borderId="0" xfId="0" applyFont="1" applyFill="1" applyAlignment="1">
      <alignment/>
    </xf>
    <xf numFmtId="165" fontId="25" fillId="0" borderId="0" xfId="0" applyFont="1" applyAlignment="1" applyProtection="1">
      <alignment/>
      <protection/>
    </xf>
    <xf numFmtId="1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65" fontId="1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138</xdr:row>
      <xdr:rowOff>142875</xdr:rowOff>
    </xdr:from>
    <xdr:to>
      <xdr:col>2</xdr:col>
      <xdr:colOff>333375</xdr:colOff>
      <xdr:row>142</xdr:row>
      <xdr:rowOff>171450</xdr:rowOff>
    </xdr:to>
    <xdr:pic>
      <xdr:nvPicPr>
        <xdr:cNvPr id="1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6908125"/>
          <a:ext cx="1028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64</xdr:row>
      <xdr:rowOff>38100</xdr:rowOff>
    </xdr:from>
    <xdr:to>
      <xdr:col>2</xdr:col>
      <xdr:colOff>219075</xdr:colOff>
      <xdr:row>70</xdr:row>
      <xdr:rowOff>152400</xdr:rowOff>
    </xdr:to>
    <xdr:pic>
      <xdr:nvPicPr>
        <xdr:cNvPr id="2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2420600"/>
          <a:ext cx="13144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65</xdr:row>
      <xdr:rowOff>85725</xdr:rowOff>
    </xdr:from>
    <xdr:to>
      <xdr:col>12</xdr:col>
      <xdr:colOff>123825</xdr:colOff>
      <xdr:row>71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rcRect l="10781" t="17591" r="9176"/>
        <a:stretch>
          <a:fillRect/>
        </a:stretch>
      </xdr:blipFill>
      <xdr:spPr>
        <a:xfrm>
          <a:off x="8391525" y="12658725"/>
          <a:ext cx="1790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139</xdr:row>
      <xdr:rowOff>0</xdr:rowOff>
    </xdr:from>
    <xdr:to>
      <xdr:col>13</xdr:col>
      <xdr:colOff>19050</xdr:colOff>
      <xdr:row>143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rcRect l="10781" t="17591" r="9176"/>
        <a:stretch>
          <a:fillRect/>
        </a:stretch>
      </xdr:blipFill>
      <xdr:spPr>
        <a:xfrm>
          <a:off x="9267825" y="27022425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C199"/>
  <sheetViews>
    <sheetView tabSelected="1" defaultGridColor="0" zoomScale="75" zoomScaleNormal="75" zoomScalePageLayoutView="0" colorId="22" workbookViewId="0" topLeftCell="A1">
      <selection activeCell="B4" sqref="B4"/>
    </sheetView>
  </sheetViews>
  <sheetFormatPr defaultColWidth="9.77734375" defaultRowHeight="15"/>
  <cols>
    <col min="1" max="13" width="9.77734375" style="29" customWidth="1"/>
    <col min="14" max="14" width="9.77734375" style="0" customWidth="1"/>
    <col min="15" max="15" width="12.5546875" style="0" customWidth="1"/>
    <col min="16" max="18" width="9.77734375" style="0" customWidth="1"/>
    <col min="19" max="24" width="10.77734375" style="0" customWidth="1"/>
    <col min="25" max="27" width="9.77734375" style="0" customWidth="1"/>
    <col min="28" max="29" width="10.77734375" style="0" customWidth="1"/>
  </cols>
  <sheetData>
    <row r="1" spans="1:24" ht="23.25" thickBot="1">
      <c r="A1" s="1"/>
      <c r="B1" s="88" t="s">
        <v>243</v>
      </c>
      <c r="C1" s="88"/>
      <c r="D1" s="88"/>
      <c r="E1" s="88"/>
      <c r="F1" s="88"/>
      <c r="G1" s="88"/>
      <c r="H1" s="88"/>
      <c r="I1" s="88"/>
      <c r="J1" s="88"/>
      <c r="K1" s="88"/>
      <c r="L1" s="1"/>
      <c r="M1" s="2"/>
      <c r="N1" s="4"/>
      <c r="O1" s="49" t="s">
        <v>247</v>
      </c>
      <c r="P1" s="5"/>
      <c r="Q1" s="5"/>
      <c r="R1" s="5"/>
      <c r="S1" s="5"/>
      <c r="T1" s="5"/>
      <c r="U1" s="5"/>
      <c r="V1" s="6"/>
      <c r="W1" s="4"/>
      <c r="X1" s="84"/>
    </row>
    <row r="2" spans="1:24" ht="18" thickTop="1">
      <c r="A2" s="3"/>
      <c r="B2" s="3"/>
      <c r="C2" s="3"/>
      <c r="D2" s="3"/>
      <c r="E2" s="3"/>
      <c r="F2" s="3"/>
      <c r="G2" s="69" t="s">
        <v>206</v>
      </c>
      <c r="H2" s="3"/>
      <c r="I2" s="3"/>
      <c r="J2" s="3"/>
      <c r="K2" s="3"/>
      <c r="L2" s="3"/>
      <c r="M2" s="7"/>
      <c r="N2" s="4"/>
      <c r="O2" s="8"/>
      <c r="P2" s="8"/>
      <c r="Q2" s="8"/>
      <c r="R2" s="8"/>
      <c r="S2" s="8"/>
      <c r="T2" s="8"/>
      <c r="U2" s="5"/>
      <c r="V2" s="6"/>
      <c r="W2" s="4"/>
      <c r="X2" s="84"/>
    </row>
    <row r="3" spans="1:24" ht="15">
      <c r="A3" s="10"/>
      <c r="B3" s="11"/>
      <c r="C3" s="10"/>
      <c r="D3" s="2"/>
      <c r="E3" s="7"/>
      <c r="F3" s="7"/>
      <c r="G3" s="7"/>
      <c r="H3" s="7"/>
      <c r="I3" s="7"/>
      <c r="J3" s="7"/>
      <c r="K3" s="7"/>
      <c r="L3" s="7"/>
      <c r="M3" s="10"/>
      <c r="N3" s="4"/>
      <c r="O3" s="12" t="s">
        <v>208</v>
      </c>
      <c r="P3" s="12"/>
      <c r="Q3" s="12"/>
      <c r="R3" s="12"/>
      <c r="S3" s="12"/>
      <c r="T3" s="12"/>
      <c r="U3" s="5"/>
      <c r="V3" s="6"/>
      <c r="W3" s="4"/>
      <c r="X3" s="84"/>
    </row>
    <row r="4" spans="1:24" ht="15">
      <c r="A4" s="13" t="s">
        <v>0</v>
      </c>
      <c r="B4" s="14" t="s">
        <v>222</v>
      </c>
      <c r="C4" s="3"/>
      <c r="D4" s="2"/>
      <c r="F4" s="7"/>
      <c r="G4" s="7"/>
      <c r="H4" s="85" t="s">
        <v>1</v>
      </c>
      <c r="I4" s="7"/>
      <c r="J4" s="7"/>
      <c r="K4" s="7"/>
      <c r="L4" s="7"/>
      <c r="M4" s="10"/>
      <c r="N4" s="4"/>
      <c r="O4" s="49" t="s">
        <v>248</v>
      </c>
      <c r="P4" s="5"/>
      <c r="Q4" s="5"/>
      <c r="R4" s="5"/>
      <c r="S4" s="5"/>
      <c r="T4" s="5"/>
      <c r="U4" s="5"/>
      <c r="V4" s="6"/>
      <c r="W4" s="4"/>
      <c r="X4" s="84"/>
    </row>
    <row r="5" spans="1:24" ht="15">
      <c r="A5" s="13" t="s">
        <v>2</v>
      </c>
      <c r="B5" s="7">
        <f>Q45</f>
        <v>2022</v>
      </c>
      <c r="C5" s="7" t="str">
        <f>Q46</f>
        <v>Single Return</v>
      </c>
      <c r="D5" s="7"/>
      <c r="F5" s="7"/>
      <c r="G5" s="7"/>
      <c r="H5" s="85" t="s">
        <v>3</v>
      </c>
      <c r="I5" s="7"/>
      <c r="J5" s="7"/>
      <c r="K5" s="7"/>
      <c r="L5" s="7"/>
      <c r="M5" s="10"/>
      <c r="N5" s="4"/>
      <c r="O5" s="49" t="s">
        <v>231</v>
      </c>
      <c r="P5" s="5"/>
      <c r="Q5" s="5"/>
      <c r="R5" s="5"/>
      <c r="S5" s="5"/>
      <c r="T5" s="5"/>
      <c r="U5" s="5"/>
      <c r="V5" s="6"/>
      <c r="W5" s="4"/>
      <c r="X5" s="84"/>
    </row>
    <row r="6" spans="1:24" ht="15">
      <c r="A6" s="7" t="s">
        <v>4</v>
      </c>
      <c r="B6" s="15">
        <f ca="1">NOW()</f>
        <v>44831.64892743056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4"/>
      <c r="O6" s="5" t="s">
        <v>5</v>
      </c>
      <c r="P6" s="5"/>
      <c r="Q6" s="5"/>
      <c r="R6" s="5"/>
      <c r="S6" s="5"/>
      <c r="T6" s="5"/>
      <c r="U6" s="5"/>
      <c r="V6" s="6"/>
      <c r="W6" s="4"/>
      <c r="X6" s="84"/>
    </row>
    <row r="7" spans="1:24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4"/>
      <c r="O7" s="49" t="s">
        <v>238</v>
      </c>
      <c r="P7" s="5"/>
      <c r="Q7" s="5"/>
      <c r="R7" s="5"/>
      <c r="S7" s="5"/>
      <c r="T7" s="5"/>
      <c r="U7" s="5"/>
      <c r="V7" s="6"/>
      <c r="W7" s="4"/>
      <c r="X7" s="84"/>
    </row>
    <row r="8" spans="1:24" ht="15.75" thickBot="1">
      <c r="A8" s="7"/>
      <c r="B8" s="56" t="s">
        <v>6</v>
      </c>
      <c r="C8" s="56"/>
      <c r="D8" s="56"/>
      <c r="E8" s="7"/>
      <c r="F8" s="7"/>
      <c r="G8" s="7"/>
      <c r="H8" s="7"/>
      <c r="I8" s="56" t="s">
        <v>7</v>
      </c>
      <c r="J8" s="56"/>
      <c r="K8" s="56"/>
      <c r="L8" s="7"/>
      <c r="M8" s="7"/>
      <c r="N8" s="4"/>
      <c r="O8" s="49" t="s">
        <v>249</v>
      </c>
      <c r="P8" s="5"/>
      <c r="Q8" s="5"/>
      <c r="R8" s="5"/>
      <c r="S8" s="5"/>
      <c r="T8" s="5"/>
      <c r="U8" s="5"/>
      <c r="V8" s="6"/>
      <c r="W8" s="4"/>
      <c r="X8" s="84"/>
    </row>
    <row r="9" spans="1:24" ht="15" thickTop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7"/>
      <c r="N9" s="4"/>
      <c r="O9" s="5" t="s">
        <v>250</v>
      </c>
      <c r="P9" s="5"/>
      <c r="Q9" s="5"/>
      <c r="R9" s="5"/>
      <c r="S9" s="5"/>
      <c r="T9" s="5"/>
      <c r="U9" s="5"/>
      <c r="V9" s="6"/>
      <c r="W9" s="4"/>
      <c r="X9" s="84"/>
    </row>
    <row r="10" spans="1:24" ht="15">
      <c r="A10" s="7"/>
      <c r="B10" s="7"/>
      <c r="C10" s="17" t="s">
        <v>8</v>
      </c>
      <c r="D10" s="17"/>
      <c r="E10" s="17" t="s">
        <v>9</v>
      </c>
      <c r="F10" s="17"/>
      <c r="G10" s="17"/>
      <c r="H10" s="17"/>
      <c r="I10" s="17"/>
      <c r="J10" s="17" t="s">
        <v>10</v>
      </c>
      <c r="K10" s="17"/>
      <c r="L10" s="17" t="s">
        <v>9</v>
      </c>
      <c r="M10" s="7"/>
      <c r="N10" s="4"/>
      <c r="O10" s="49" t="s">
        <v>189</v>
      </c>
      <c r="P10" s="5"/>
      <c r="Q10" s="5"/>
      <c r="R10" s="5"/>
      <c r="S10" s="5"/>
      <c r="T10" s="5"/>
      <c r="U10" s="5"/>
      <c r="V10" s="6"/>
      <c r="W10" s="4"/>
      <c r="X10" s="84"/>
    </row>
    <row r="11" spans="1:24" ht="15">
      <c r="A11" s="7"/>
      <c r="B11" s="7"/>
      <c r="C11" s="17" t="s">
        <v>11</v>
      </c>
      <c r="D11" s="17" t="s">
        <v>12</v>
      </c>
      <c r="E11" s="17" t="s">
        <v>13</v>
      </c>
      <c r="F11" s="17"/>
      <c r="G11" s="17"/>
      <c r="H11" s="17"/>
      <c r="I11" s="17"/>
      <c r="J11" s="17" t="s">
        <v>14</v>
      </c>
      <c r="K11" s="17" t="s">
        <v>12</v>
      </c>
      <c r="L11" s="17" t="s">
        <v>13</v>
      </c>
      <c r="M11" s="7"/>
      <c r="N11" s="4"/>
      <c r="O11" s="5" t="s">
        <v>190</v>
      </c>
      <c r="P11" s="5"/>
      <c r="Q11" s="5"/>
      <c r="R11" s="5"/>
      <c r="S11" s="5"/>
      <c r="T11" s="5"/>
      <c r="U11" s="5"/>
      <c r="V11" s="6"/>
      <c r="W11" s="4"/>
      <c r="X11" s="84"/>
    </row>
    <row r="12" spans="1:24" ht="15" thickBot="1">
      <c r="A12" s="7"/>
      <c r="B12" s="7"/>
      <c r="C12" s="17" t="s">
        <v>15</v>
      </c>
      <c r="D12" s="17" t="s">
        <v>8</v>
      </c>
      <c r="E12" s="17" t="s">
        <v>16</v>
      </c>
      <c r="F12" s="17"/>
      <c r="G12" s="17"/>
      <c r="H12" s="17"/>
      <c r="I12" s="17"/>
      <c r="J12" s="17" t="s">
        <v>15</v>
      </c>
      <c r="K12" s="17" t="s">
        <v>10</v>
      </c>
      <c r="L12" s="17" t="s">
        <v>10</v>
      </c>
      <c r="M12" s="7"/>
      <c r="N12" s="4"/>
      <c r="O12" s="5" t="s">
        <v>191</v>
      </c>
      <c r="P12" s="5"/>
      <c r="Q12" s="5"/>
      <c r="R12" s="5"/>
      <c r="S12" s="5"/>
      <c r="T12" s="5"/>
      <c r="U12" s="5"/>
      <c r="V12" s="6"/>
      <c r="W12" s="4"/>
      <c r="X12" s="84"/>
    </row>
    <row r="13" spans="1:24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7"/>
      <c r="N13" s="4"/>
      <c r="O13" s="49" t="s">
        <v>251</v>
      </c>
      <c r="P13" s="4"/>
      <c r="Q13" s="4"/>
      <c r="R13" s="4"/>
      <c r="S13" s="4"/>
      <c r="T13" s="4"/>
      <c r="U13" s="5"/>
      <c r="V13" s="6"/>
      <c r="W13" s="4"/>
      <c r="X13" s="84"/>
    </row>
    <row r="14" spans="1:24" ht="15">
      <c r="A14" s="7" t="s">
        <v>17</v>
      </c>
      <c r="B14" s="7"/>
      <c r="C14" s="7"/>
      <c r="D14" s="10"/>
      <c r="E14" s="7"/>
      <c r="F14" s="10"/>
      <c r="G14" s="10"/>
      <c r="H14" s="7" t="s">
        <v>18</v>
      </c>
      <c r="I14" s="7"/>
      <c r="J14" s="11" t="s">
        <v>171</v>
      </c>
      <c r="K14" s="11" t="s">
        <v>171</v>
      </c>
      <c r="L14" s="19">
        <f aca="true" t="shared" si="0" ref="L14:L47">J14+K14</f>
        <v>0</v>
      </c>
      <c r="M14" s="10"/>
      <c r="N14" s="4"/>
      <c r="O14" s="49" t="s">
        <v>252</v>
      </c>
      <c r="P14" s="5"/>
      <c r="Q14" s="5"/>
      <c r="R14" s="5"/>
      <c r="S14" s="5"/>
      <c r="T14" s="5"/>
      <c r="U14" s="5"/>
      <c r="V14" s="6"/>
      <c r="W14" s="4"/>
      <c r="X14" s="84"/>
    </row>
    <row r="15" spans="1:24" ht="15">
      <c r="A15" s="7" t="s">
        <v>19</v>
      </c>
      <c r="B15" s="7"/>
      <c r="C15" s="11" t="s">
        <v>171</v>
      </c>
      <c r="D15" s="11" t="s">
        <v>171</v>
      </c>
      <c r="E15" s="19">
        <f>(C15+D15)</f>
        <v>0</v>
      </c>
      <c r="F15" s="10"/>
      <c r="G15" s="10"/>
      <c r="H15" s="7" t="s">
        <v>20</v>
      </c>
      <c r="I15" s="7"/>
      <c r="J15" s="11" t="s">
        <v>172</v>
      </c>
      <c r="K15" s="11" t="s">
        <v>171</v>
      </c>
      <c r="L15" s="19">
        <f>J15+K15</f>
        <v>0</v>
      </c>
      <c r="M15" s="10"/>
      <c r="N15" s="4"/>
      <c r="O15" s="5" t="s">
        <v>21</v>
      </c>
      <c r="P15" s="5"/>
      <c r="Q15" s="5"/>
      <c r="R15" s="5"/>
      <c r="S15" s="5"/>
      <c r="T15" s="5"/>
      <c r="U15" s="5"/>
      <c r="V15" s="6"/>
      <c r="W15" s="4"/>
      <c r="X15" s="84"/>
    </row>
    <row r="16" spans="1:24" ht="15">
      <c r="A16" s="7" t="s">
        <v>22</v>
      </c>
      <c r="B16" s="7"/>
      <c r="C16" s="11" t="s">
        <v>171</v>
      </c>
      <c r="D16" s="11" t="s">
        <v>171</v>
      </c>
      <c r="E16" s="19">
        <f>(C16+D16)</f>
        <v>0</v>
      </c>
      <c r="F16" s="10"/>
      <c r="G16" s="10"/>
      <c r="H16" s="7" t="s">
        <v>23</v>
      </c>
      <c r="I16" s="19"/>
      <c r="J16" s="11" t="s">
        <v>171</v>
      </c>
      <c r="K16" s="11" t="s">
        <v>171</v>
      </c>
      <c r="L16" s="19">
        <f t="shared" si="0"/>
        <v>0</v>
      </c>
      <c r="M16" s="10"/>
      <c r="N16" s="4"/>
      <c r="O16" s="49" t="s">
        <v>253</v>
      </c>
      <c r="P16" s="5"/>
      <c r="Q16" s="5"/>
      <c r="R16" s="5"/>
      <c r="S16" s="5"/>
      <c r="T16" s="5"/>
      <c r="U16" s="5"/>
      <c r="V16" s="6"/>
      <c r="W16" s="4"/>
      <c r="X16" s="84"/>
    </row>
    <row r="17" spans="1:24" ht="15">
      <c r="A17" s="20"/>
      <c r="B17" s="20"/>
      <c r="C17" s="20"/>
      <c r="D17" s="20"/>
      <c r="E17" s="20"/>
      <c r="F17" s="10"/>
      <c r="G17" s="10"/>
      <c r="H17" s="7" t="s">
        <v>25</v>
      </c>
      <c r="I17" s="19"/>
      <c r="J17" s="11" t="s">
        <v>172</v>
      </c>
      <c r="K17" s="11" t="s">
        <v>171</v>
      </c>
      <c r="L17" s="19">
        <f t="shared" si="0"/>
        <v>0</v>
      </c>
      <c r="M17" s="10"/>
      <c r="N17" s="4"/>
      <c r="O17" s="49" t="s">
        <v>254</v>
      </c>
      <c r="P17" s="5"/>
      <c r="Q17" s="5"/>
      <c r="R17" s="5"/>
      <c r="S17" s="5"/>
      <c r="T17" s="5"/>
      <c r="U17" s="5"/>
      <c r="V17" s="5"/>
      <c r="W17" s="4"/>
      <c r="X17" s="84"/>
    </row>
    <row r="18" spans="1:24" ht="15">
      <c r="A18" s="7" t="s">
        <v>24</v>
      </c>
      <c r="B18" s="7"/>
      <c r="C18" s="19">
        <f>(C15-C16)</f>
        <v>0</v>
      </c>
      <c r="D18" s="19">
        <f>(D15-D16)</f>
        <v>0</v>
      </c>
      <c r="E18" s="19">
        <f>(E15-E16)</f>
        <v>0</v>
      </c>
      <c r="F18" s="10"/>
      <c r="G18" s="10"/>
      <c r="H18" s="7" t="s">
        <v>170</v>
      </c>
      <c r="I18" s="7"/>
      <c r="J18" s="11" t="s">
        <v>171</v>
      </c>
      <c r="K18" s="11" t="s">
        <v>171</v>
      </c>
      <c r="L18" s="19">
        <f t="shared" si="0"/>
        <v>0</v>
      </c>
      <c r="M18" s="10"/>
      <c r="N18" s="4"/>
      <c r="O18" s="49" t="s">
        <v>239</v>
      </c>
      <c r="P18" s="5"/>
      <c r="Q18" s="5"/>
      <c r="R18" s="5"/>
      <c r="S18" s="5"/>
      <c r="T18" s="5"/>
      <c r="U18" s="5"/>
      <c r="V18" s="6"/>
      <c r="W18" s="4"/>
      <c r="X18" s="84"/>
    </row>
    <row r="19" spans="1:24" ht="15">
      <c r="A19" s="7"/>
      <c r="B19" s="10"/>
      <c r="C19" s="10"/>
      <c r="D19" s="10"/>
      <c r="E19" s="7"/>
      <c r="F19" s="10"/>
      <c r="G19" s="10"/>
      <c r="H19" s="7" t="s">
        <v>27</v>
      </c>
      <c r="I19" s="19"/>
      <c r="J19" s="11" t="s">
        <v>171</v>
      </c>
      <c r="K19" s="11" t="s">
        <v>171</v>
      </c>
      <c r="L19" s="19">
        <f t="shared" si="0"/>
        <v>0</v>
      </c>
      <c r="M19" s="10"/>
      <c r="N19" s="4"/>
      <c r="O19" s="5" t="s">
        <v>255</v>
      </c>
      <c r="P19" s="5"/>
      <c r="Q19" s="5"/>
      <c r="R19" s="5"/>
      <c r="S19" s="5"/>
      <c r="T19" s="5"/>
      <c r="U19" s="5"/>
      <c r="V19" s="6"/>
      <c r="W19" s="4"/>
      <c r="X19" s="84"/>
    </row>
    <row r="20" spans="1:24" ht="15">
      <c r="A20" s="20" t="s">
        <v>26</v>
      </c>
      <c r="B20" s="20"/>
      <c r="C20" s="10"/>
      <c r="D20" s="10"/>
      <c r="E20" s="7"/>
      <c r="F20" s="10"/>
      <c r="G20" s="10"/>
      <c r="H20" s="7" t="s">
        <v>29</v>
      </c>
      <c r="I20" s="7"/>
      <c r="J20" s="11" t="s">
        <v>171</v>
      </c>
      <c r="K20" s="11" t="s">
        <v>173</v>
      </c>
      <c r="L20" s="19">
        <f t="shared" si="0"/>
        <v>0</v>
      </c>
      <c r="M20" s="10"/>
      <c r="N20" s="4"/>
      <c r="O20" s="49" t="s">
        <v>223</v>
      </c>
      <c r="P20" s="5"/>
      <c r="Q20" s="5"/>
      <c r="R20" s="5"/>
      <c r="S20" s="5"/>
      <c r="T20" s="5"/>
      <c r="U20" s="5"/>
      <c r="V20" s="6"/>
      <c r="W20" s="4"/>
      <c r="X20" s="84"/>
    </row>
    <row r="21" spans="1:24" ht="15">
      <c r="A21" s="7"/>
      <c r="B21" s="10"/>
      <c r="C21" s="10"/>
      <c r="D21" s="10"/>
      <c r="E21" s="7"/>
      <c r="F21" s="10"/>
      <c r="G21" s="10"/>
      <c r="H21" s="7" t="s">
        <v>31</v>
      </c>
      <c r="I21" s="7"/>
      <c r="J21" s="11" t="s">
        <v>171</v>
      </c>
      <c r="K21" s="11" t="s">
        <v>171</v>
      </c>
      <c r="L21" s="19">
        <f t="shared" si="0"/>
        <v>0</v>
      </c>
      <c r="M21" s="10"/>
      <c r="N21" s="4"/>
      <c r="O21" s="5" t="s">
        <v>240</v>
      </c>
      <c r="P21" s="5"/>
      <c r="Q21" s="5"/>
      <c r="R21" s="5"/>
      <c r="S21" s="5"/>
      <c r="T21" s="5"/>
      <c r="U21" s="5"/>
      <c r="V21" s="6"/>
      <c r="W21" s="4"/>
      <c r="X21" s="84"/>
    </row>
    <row r="22" spans="1:24" ht="15">
      <c r="A22" s="7" t="s">
        <v>30</v>
      </c>
      <c r="B22" s="7"/>
      <c r="C22" s="11" t="s">
        <v>171</v>
      </c>
      <c r="D22" s="11" t="s">
        <v>171</v>
      </c>
      <c r="E22" s="19">
        <f aca="true" t="shared" si="1" ref="E22:E47">(C22+D22)</f>
        <v>0</v>
      </c>
      <c r="F22" s="10"/>
      <c r="G22" s="10"/>
      <c r="H22" s="7" t="s">
        <v>33</v>
      </c>
      <c r="I22" s="7"/>
      <c r="J22" s="11" t="s">
        <v>171</v>
      </c>
      <c r="K22" s="11" t="s">
        <v>171</v>
      </c>
      <c r="L22" s="19">
        <f t="shared" si="0"/>
        <v>0</v>
      </c>
      <c r="M22" s="10"/>
      <c r="N22" s="4"/>
      <c r="O22" s="5" t="s">
        <v>256</v>
      </c>
      <c r="P22" s="5"/>
      <c r="Q22" s="5"/>
      <c r="R22" s="5"/>
      <c r="S22" s="5"/>
      <c r="T22" s="5"/>
      <c r="U22" s="5"/>
      <c r="V22" s="6"/>
      <c r="W22" s="4"/>
      <c r="X22" s="84"/>
    </row>
    <row r="23" spans="1:24" ht="15">
      <c r="A23" s="7" t="s">
        <v>32</v>
      </c>
      <c r="B23" s="7"/>
      <c r="C23" s="11" t="s">
        <v>171</v>
      </c>
      <c r="D23" s="11" t="s">
        <v>171</v>
      </c>
      <c r="E23" s="19">
        <f t="shared" si="1"/>
        <v>0</v>
      </c>
      <c r="F23" s="10"/>
      <c r="G23" s="10"/>
      <c r="H23" s="7" t="s">
        <v>34</v>
      </c>
      <c r="I23" s="7"/>
      <c r="J23" s="11" t="s">
        <v>171</v>
      </c>
      <c r="K23" s="11" t="s">
        <v>171</v>
      </c>
      <c r="L23" s="19">
        <f t="shared" si="0"/>
        <v>0</v>
      </c>
      <c r="M23" s="10"/>
      <c r="N23" s="4"/>
      <c r="O23" s="49" t="s">
        <v>242</v>
      </c>
      <c r="P23" s="5"/>
      <c r="Q23" s="5"/>
      <c r="R23" s="5"/>
      <c r="S23" s="5"/>
      <c r="T23" s="5"/>
      <c r="U23" s="5"/>
      <c r="V23" s="6"/>
      <c r="W23" s="4"/>
      <c r="X23" s="84"/>
    </row>
    <row r="24" spans="1:24" ht="15">
      <c r="A24" s="10" t="s">
        <v>167</v>
      </c>
      <c r="B24" s="10"/>
      <c r="C24" s="11" t="s">
        <v>171</v>
      </c>
      <c r="D24" s="11" t="s">
        <v>171</v>
      </c>
      <c r="E24" s="19">
        <f t="shared" si="1"/>
        <v>0</v>
      </c>
      <c r="F24" s="10"/>
      <c r="G24" s="10"/>
      <c r="H24" s="7" t="s">
        <v>35</v>
      </c>
      <c r="I24" s="7"/>
      <c r="J24" s="11" t="s">
        <v>171</v>
      </c>
      <c r="K24" s="11" t="s">
        <v>172</v>
      </c>
      <c r="L24" s="19">
        <f t="shared" si="0"/>
        <v>0</v>
      </c>
      <c r="M24" s="10"/>
      <c r="N24" s="4"/>
      <c r="O24" s="49" t="s">
        <v>257</v>
      </c>
      <c r="P24" s="5"/>
      <c r="Q24" s="5"/>
      <c r="R24" s="5"/>
      <c r="S24" s="5"/>
      <c r="T24" s="5"/>
      <c r="U24" s="5"/>
      <c r="V24" s="6"/>
      <c r="W24" s="4"/>
      <c r="X24" s="84"/>
    </row>
    <row r="25" spans="1:24" ht="15">
      <c r="A25" s="7" t="s">
        <v>166</v>
      </c>
      <c r="B25" s="7"/>
      <c r="C25" s="11" t="s">
        <v>171</v>
      </c>
      <c r="D25" s="11" t="s">
        <v>171</v>
      </c>
      <c r="E25" s="19">
        <f t="shared" si="1"/>
        <v>0</v>
      </c>
      <c r="F25" s="10"/>
      <c r="G25" s="10"/>
      <c r="H25" s="7" t="s">
        <v>169</v>
      </c>
      <c r="I25" s="7"/>
      <c r="J25" s="11" t="s">
        <v>172</v>
      </c>
      <c r="K25" s="11" t="s">
        <v>171</v>
      </c>
      <c r="L25" s="19">
        <f t="shared" si="0"/>
        <v>0</v>
      </c>
      <c r="M25" s="10"/>
      <c r="N25" s="4"/>
      <c r="O25" s="5" t="s">
        <v>28</v>
      </c>
      <c r="P25" s="5"/>
      <c r="Q25" s="49"/>
      <c r="R25" s="5"/>
      <c r="S25" s="5"/>
      <c r="T25" s="5"/>
      <c r="U25" s="5"/>
      <c r="V25" s="5" t="s">
        <v>258</v>
      </c>
      <c r="W25" s="5"/>
      <c r="X25" s="84"/>
    </row>
    <row r="26" spans="1:23" ht="15">
      <c r="A26" s="10" t="s">
        <v>203</v>
      </c>
      <c r="B26" s="7"/>
      <c r="C26" s="11" t="s">
        <v>171</v>
      </c>
      <c r="D26" s="11" t="s">
        <v>171</v>
      </c>
      <c r="E26" s="19">
        <f t="shared" si="1"/>
        <v>0</v>
      </c>
      <c r="F26" s="10"/>
      <c r="G26" s="10"/>
      <c r="H26" s="7" t="s">
        <v>209</v>
      </c>
      <c r="I26" s="7"/>
      <c r="J26" s="11" t="s">
        <v>171</v>
      </c>
      <c r="K26" s="11" t="s">
        <v>171</v>
      </c>
      <c r="L26" s="19">
        <f t="shared" si="0"/>
        <v>0</v>
      </c>
      <c r="M26" s="10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15">
      <c r="A27" s="10" t="s">
        <v>36</v>
      </c>
      <c r="B27" s="7"/>
      <c r="C27" s="11" t="s">
        <v>171</v>
      </c>
      <c r="D27" s="11" t="s">
        <v>171</v>
      </c>
      <c r="E27" s="19">
        <f t="shared" si="1"/>
        <v>0</v>
      </c>
      <c r="F27" s="10"/>
      <c r="G27" s="10"/>
      <c r="H27" s="7" t="s">
        <v>37</v>
      </c>
      <c r="I27" s="7"/>
      <c r="J27" s="11" t="s">
        <v>171</v>
      </c>
      <c r="K27" s="11" t="s">
        <v>171</v>
      </c>
      <c r="L27" s="19">
        <f t="shared" si="0"/>
        <v>0</v>
      </c>
      <c r="M27" s="10"/>
      <c r="N27" s="9"/>
      <c r="V27" s="21"/>
      <c r="W27" s="21"/>
    </row>
    <row r="28" spans="1:23" ht="15">
      <c r="A28" s="10" t="s">
        <v>41</v>
      </c>
      <c r="B28" s="7"/>
      <c r="C28" s="11" t="s">
        <v>171</v>
      </c>
      <c r="D28" s="11" t="s">
        <v>171</v>
      </c>
      <c r="E28" s="19">
        <f t="shared" si="1"/>
        <v>0</v>
      </c>
      <c r="F28" s="10"/>
      <c r="G28" s="10"/>
      <c r="H28" s="7" t="s">
        <v>38</v>
      </c>
      <c r="I28" s="7"/>
      <c r="J28" s="11" t="s">
        <v>171</v>
      </c>
      <c r="K28" s="11" t="s">
        <v>171</v>
      </c>
      <c r="L28" s="19">
        <f t="shared" si="0"/>
        <v>0</v>
      </c>
      <c r="M28" s="10"/>
      <c r="N28" s="9"/>
      <c r="O28" s="21"/>
      <c r="P28" s="21"/>
      <c r="Q28" s="22"/>
      <c r="R28" s="22"/>
      <c r="S28" s="21"/>
      <c r="T28" s="21"/>
      <c r="U28" s="21"/>
      <c r="V28" s="21"/>
      <c r="W28" s="21"/>
    </row>
    <row r="29" spans="1:23" ht="15">
      <c r="A29" s="10" t="s">
        <v>45</v>
      </c>
      <c r="B29" s="7"/>
      <c r="C29" s="11" t="s">
        <v>171</v>
      </c>
      <c r="D29" s="11" t="s">
        <v>171</v>
      </c>
      <c r="E29" s="19">
        <f t="shared" si="1"/>
        <v>0</v>
      </c>
      <c r="F29" s="10"/>
      <c r="G29" s="10"/>
      <c r="H29" s="7" t="s">
        <v>40</v>
      </c>
      <c r="I29" s="7"/>
      <c r="J29" s="11" t="s">
        <v>172</v>
      </c>
      <c r="K29" s="11" t="s">
        <v>171</v>
      </c>
      <c r="L29" s="19">
        <f t="shared" si="0"/>
        <v>0</v>
      </c>
      <c r="M29" s="10"/>
      <c r="N29" s="9"/>
      <c r="O29" s="21"/>
      <c r="P29" s="21"/>
      <c r="Q29" s="22"/>
      <c r="R29" s="22"/>
      <c r="S29" s="21"/>
      <c r="T29" s="21"/>
      <c r="U29" s="21"/>
      <c r="V29" s="21"/>
      <c r="W29" s="21"/>
    </row>
    <row r="30" spans="1:23" ht="15">
      <c r="A30" s="10" t="s">
        <v>220</v>
      </c>
      <c r="B30" s="7"/>
      <c r="C30" s="11" t="s">
        <v>171</v>
      </c>
      <c r="D30" s="11" t="s">
        <v>171</v>
      </c>
      <c r="E30" s="19">
        <f t="shared" si="1"/>
        <v>0</v>
      </c>
      <c r="F30" s="10"/>
      <c r="G30" s="10"/>
      <c r="H30" s="7" t="s">
        <v>42</v>
      </c>
      <c r="I30" s="7"/>
      <c r="J30" s="11" t="s">
        <v>172</v>
      </c>
      <c r="K30" s="11" t="s">
        <v>171</v>
      </c>
      <c r="L30" s="19">
        <f t="shared" si="0"/>
        <v>0</v>
      </c>
      <c r="M30" s="10"/>
      <c r="N30" s="9"/>
      <c r="O30" s="21"/>
      <c r="P30" s="21"/>
      <c r="Q30" s="22"/>
      <c r="R30" s="22"/>
      <c r="S30" s="21"/>
      <c r="T30" s="21"/>
      <c r="U30" s="21"/>
      <c r="V30" s="21"/>
      <c r="W30" s="21"/>
    </row>
    <row r="31" spans="1:23" ht="15">
      <c r="A31" s="10" t="s">
        <v>39</v>
      </c>
      <c r="B31" s="7"/>
      <c r="C31" s="11" t="s">
        <v>171</v>
      </c>
      <c r="D31" s="11" t="s">
        <v>171</v>
      </c>
      <c r="E31" s="19">
        <f t="shared" si="1"/>
        <v>0</v>
      </c>
      <c r="F31" s="10"/>
      <c r="G31" s="10"/>
      <c r="H31" s="7" t="s">
        <v>44</v>
      </c>
      <c r="I31" s="7"/>
      <c r="J31" s="11" t="s">
        <v>172</v>
      </c>
      <c r="K31" s="11" t="s">
        <v>171</v>
      </c>
      <c r="L31" s="19">
        <f t="shared" si="0"/>
        <v>0</v>
      </c>
      <c r="M31" s="10"/>
      <c r="N31" s="21"/>
      <c r="O31" s="21"/>
      <c r="P31" s="21"/>
      <c r="Q31" s="22"/>
      <c r="R31" s="22"/>
      <c r="S31" s="21"/>
      <c r="T31" s="21"/>
      <c r="U31" s="21"/>
      <c r="V31" s="21"/>
      <c r="W31" s="21"/>
    </row>
    <row r="32" spans="1:23" ht="15">
      <c r="A32" s="10" t="s">
        <v>204</v>
      </c>
      <c r="B32" s="7"/>
      <c r="C32" s="11" t="s">
        <v>171</v>
      </c>
      <c r="D32" s="11" t="s">
        <v>171</v>
      </c>
      <c r="E32" s="19">
        <f t="shared" si="1"/>
        <v>0</v>
      </c>
      <c r="F32" s="10"/>
      <c r="G32" s="10"/>
      <c r="H32" s="7" t="s">
        <v>46</v>
      </c>
      <c r="I32" s="7"/>
      <c r="J32" s="11" t="s">
        <v>171</v>
      </c>
      <c r="K32" s="11" t="s">
        <v>171</v>
      </c>
      <c r="L32" s="19">
        <f t="shared" si="0"/>
        <v>0</v>
      </c>
      <c r="M32" s="10"/>
      <c r="N32" s="21"/>
      <c r="O32" s="9"/>
      <c r="P32" s="9"/>
      <c r="Q32" s="23"/>
      <c r="R32" s="23"/>
      <c r="S32" s="9"/>
      <c r="T32" s="21"/>
      <c r="U32" s="21"/>
      <c r="V32" s="21"/>
      <c r="W32" s="21"/>
    </row>
    <row r="33" spans="1:19" ht="15">
      <c r="A33" s="10" t="s">
        <v>205</v>
      </c>
      <c r="B33" s="7"/>
      <c r="C33" s="11" t="s">
        <v>171</v>
      </c>
      <c r="D33" s="11" t="s">
        <v>171</v>
      </c>
      <c r="E33" s="19">
        <f t="shared" si="1"/>
        <v>0</v>
      </c>
      <c r="F33" s="10"/>
      <c r="G33" s="10"/>
      <c r="H33" s="7" t="s">
        <v>47</v>
      </c>
      <c r="I33" s="7"/>
      <c r="J33" s="11" t="s">
        <v>172</v>
      </c>
      <c r="K33" s="11" t="s">
        <v>171</v>
      </c>
      <c r="L33" s="19">
        <f t="shared" si="0"/>
        <v>0</v>
      </c>
      <c r="M33" s="10"/>
      <c r="N33" s="21"/>
      <c r="O33" s="9"/>
      <c r="P33" s="9"/>
      <c r="Q33" s="23"/>
      <c r="R33" s="23"/>
      <c r="S33" s="9"/>
    </row>
    <row r="34" spans="1:19" ht="15">
      <c r="A34" s="10" t="s">
        <v>43</v>
      </c>
      <c r="B34" s="7"/>
      <c r="C34" s="11" t="s">
        <v>171</v>
      </c>
      <c r="D34" s="11" t="s">
        <v>171</v>
      </c>
      <c r="E34" s="19">
        <f t="shared" si="1"/>
        <v>0</v>
      </c>
      <c r="F34" s="10"/>
      <c r="G34" s="10"/>
      <c r="H34" s="7" t="s">
        <v>49</v>
      </c>
      <c r="I34" s="7"/>
      <c r="J34" s="11" t="s">
        <v>171</v>
      </c>
      <c r="K34" s="11" t="s">
        <v>171</v>
      </c>
      <c r="L34" s="19">
        <f t="shared" si="0"/>
        <v>0</v>
      </c>
      <c r="M34" s="10"/>
      <c r="N34" s="21"/>
      <c r="O34" s="9"/>
      <c r="P34" s="21"/>
      <c r="Q34" s="21"/>
      <c r="R34" s="23"/>
      <c r="S34" s="9"/>
    </row>
    <row r="35" spans="1:19" ht="15">
      <c r="A35" s="7" t="s">
        <v>48</v>
      </c>
      <c r="B35" s="7"/>
      <c r="C35" s="11" t="s">
        <v>172</v>
      </c>
      <c r="D35" s="11" t="s">
        <v>171</v>
      </c>
      <c r="E35" s="19">
        <f t="shared" si="1"/>
        <v>0</v>
      </c>
      <c r="F35" s="10"/>
      <c r="G35" s="10"/>
      <c r="H35" s="7" t="s">
        <v>51</v>
      </c>
      <c r="I35" s="7"/>
      <c r="J35" s="11" t="s">
        <v>172</v>
      </c>
      <c r="K35" s="11" t="s">
        <v>171</v>
      </c>
      <c r="L35" s="19">
        <f t="shared" si="0"/>
        <v>0</v>
      </c>
      <c r="M35" s="10"/>
      <c r="N35" s="21"/>
      <c r="O35" s="9"/>
      <c r="P35" s="21"/>
      <c r="Q35" s="21"/>
      <c r="R35" s="23"/>
      <c r="S35" s="9"/>
    </row>
    <row r="36" spans="1:19" ht="15">
      <c r="A36" s="7" t="s">
        <v>50</v>
      </c>
      <c r="B36" s="7"/>
      <c r="C36" s="11" t="s">
        <v>172</v>
      </c>
      <c r="D36" s="11" t="s">
        <v>171</v>
      </c>
      <c r="E36" s="19">
        <f t="shared" si="1"/>
        <v>0</v>
      </c>
      <c r="F36" s="10"/>
      <c r="G36" s="10"/>
      <c r="H36" s="7" t="s">
        <v>53</v>
      </c>
      <c r="I36" s="7"/>
      <c r="J36" s="11" t="s">
        <v>171</v>
      </c>
      <c r="K36" s="11" t="s">
        <v>171</v>
      </c>
      <c r="L36" s="19">
        <f t="shared" si="0"/>
        <v>0</v>
      </c>
      <c r="M36" s="10"/>
      <c r="N36" s="21"/>
      <c r="R36" s="21"/>
      <c r="S36" s="21"/>
    </row>
    <row r="37" spans="1:19" ht="15">
      <c r="A37" s="7" t="s">
        <v>52</v>
      </c>
      <c r="B37" s="7"/>
      <c r="C37" s="11" t="s">
        <v>171</v>
      </c>
      <c r="D37" s="11" t="s">
        <v>171</v>
      </c>
      <c r="E37" s="19">
        <f t="shared" si="1"/>
        <v>0</v>
      </c>
      <c r="F37" s="10"/>
      <c r="G37" s="10"/>
      <c r="H37" s="7" t="s">
        <v>55</v>
      </c>
      <c r="I37" s="19"/>
      <c r="J37" s="11" t="s">
        <v>171</v>
      </c>
      <c r="K37" s="11" t="s">
        <v>171</v>
      </c>
      <c r="L37" s="19">
        <f t="shared" si="0"/>
        <v>0</v>
      </c>
      <c r="M37" s="10"/>
      <c r="N37" s="21"/>
      <c r="R37" s="21"/>
      <c r="S37" s="21"/>
    </row>
    <row r="38" spans="1:19" ht="15">
      <c r="A38" s="7" t="s">
        <v>54</v>
      </c>
      <c r="B38" s="7"/>
      <c r="C38" s="11" t="s">
        <v>171</v>
      </c>
      <c r="D38" s="11" t="s">
        <v>171</v>
      </c>
      <c r="E38" s="19">
        <f t="shared" si="1"/>
        <v>0</v>
      </c>
      <c r="F38" s="10"/>
      <c r="G38" s="10"/>
      <c r="H38" s="73" t="s">
        <v>244</v>
      </c>
      <c r="I38" s="54"/>
      <c r="J38" s="11" t="s">
        <v>172</v>
      </c>
      <c r="K38" s="11" t="s">
        <v>171</v>
      </c>
      <c r="L38" s="19">
        <f t="shared" si="0"/>
        <v>0</v>
      </c>
      <c r="M38" s="10"/>
      <c r="N38" s="21"/>
      <c r="O38" s="21"/>
      <c r="P38" s="21"/>
      <c r="Q38" s="21"/>
      <c r="R38" s="21"/>
      <c r="S38" s="21"/>
    </row>
    <row r="39" spans="1:19" ht="15">
      <c r="A39" s="29" t="s">
        <v>165</v>
      </c>
      <c r="C39" s="11" t="s">
        <v>171</v>
      </c>
      <c r="D39" s="11" t="s">
        <v>171</v>
      </c>
      <c r="E39" s="19">
        <f t="shared" si="1"/>
        <v>0</v>
      </c>
      <c r="F39" s="10"/>
      <c r="G39" s="10"/>
      <c r="H39" s="73" t="s">
        <v>225</v>
      </c>
      <c r="I39" s="55"/>
      <c r="J39" s="11" t="s">
        <v>171</v>
      </c>
      <c r="K39" s="11" t="s">
        <v>171</v>
      </c>
      <c r="L39" s="19">
        <f t="shared" si="0"/>
        <v>0</v>
      </c>
      <c r="M39" s="10"/>
      <c r="N39" s="21"/>
      <c r="O39" s="21"/>
      <c r="P39" s="21"/>
      <c r="Q39" s="21"/>
      <c r="R39" s="21"/>
      <c r="S39" s="21"/>
    </row>
    <row r="40" spans="1:19" ht="15">
      <c r="A40" s="7" t="s">
        <v>56</v>
      </c>
      <c r="B40" s="7"/>
      <c r="C40" s="11" t="s">
        <v>171</v>
      </c>
      <c r="D40" s="11" t="s">
        <v>171</v>
      </c>
      <c r="E40" s="19">
        <f t="shared" si="1"/>
        <v>0</v>
      </c>
      <c r="F40" s="10"/>
      <c r="G40" s="10"/>
      <c r="H40" s="73" t="s">
        <v>173</v>
      </c>
      <c r="I40" s="24"/>
      <c r="J40" s="11" t="s">
        <v>172</v>
      </c>
      <c r="K40" s="11" t="s">
        <v>171</v>
      </c>
      <c r="L40" s="19">
        <f t="shared" si="0"/>
        <v>0</v>
      </c>
      <c r="M40" s="10"/>
      <c r="N40" s="21"/>
      <c r="O40" s="21"/>
      <c r="P40" s="21"/>
      <c r="Q40" s="21"/>
      <c r="R40" s="21"/>
      <c r="S40" s="21"/>
    </row>
    <row r="41" spans="1:19" ht="15">
      <c r="A41" s="7" t="s">
        <v>57</v>
      </c>
      <c r="B41" s="7"/>
      <c r="C41" s="11" t="s">
        <v>171</v>
      </c>
      <c r="D41" s="11" t="s">
        <v>171</v>
      </c>
      <c r="E41" s="19">
        <f t="shared" si="1"/>
        <v>0</v>
      </c>
      <c r="F41" s="10"/>
      <c r="G41" s="10"/>
      <c r="H41" s="73" t="s">
        <v>173</v>
      </c>
      <c r="I41" s="24"/>
      <c r="J41" s="11" t="s">
        <v>171</v>
      </c>
      <c r="K41" s="11" t="s">
        <v>171</v>
      </c>
      <c r="L41" s="19">
        <f t="shared" si="0"/>
        <v>0</v>
      </c>
      <c r="M41" s="10"/>
      <c r="N41" s="21"/>
      <c r="O41" s="21"/>
      <c r="P41" s="21"/>
      <c r="Q41" s="21"/>
      <c r="R41" s="21"/>
      <c r="S41" s="21"/>
    </row>
    <row r="42" spans="1:19" ht="15">
      <c r="A42" s="7" t="s">
        <v>58</v>
      </c>
      <c r="B42" s="7"/>
      <c r="C42" s="11" t="s">
        <v>172</v>
      </c>
      <c r="D42" s="11" t="s">
        <v>171</v>
      </c>
      <c r="E42" s="19">
        <f t="shared" si="1"/>
        <v>0</v>
      </c>
      <c r="F42" s="10"/>
      <c r="G42" s="10"/>
      <c r="H42" s="73" t="s">
        <v>173</v>
      </c>
      <c r="I42" s="24"/>
      <c r="J42" s="11" t="s">
        <v>171</v>
      </c>
      <c r="K42" s="11" t="s">
        <v>171</v>
      </c>
      <c r="L42" s="19">
        <f t="shared" si="0"/>
        <v>0</v>
      </c>
      <c r="M42" s="10"/>
      <c r="N42" s="21"/>
      <c r="O42" s="21"/>
      <c r="P42" s="21"/>
      <c r="Q42" s="21"/>
      <c r="R42" s="21"/>
      <c r="S42" s="21"/>
    </row>
    <row r="43" spans="1:19" ht="15">
      <c r="A43" s="10" t="s">
        <v>210</v>
      </c>
      <c r="B43" s="10"/>
      <c r="C43" s="11" t="s">
        <v>171</v>
      </c>
      <c r="D43" s="11" t="s">
        <v>171</v>
      </c>
      <c r="E43" s="19">
        <f t="shared" si="1"/>
        <v>0</v>
      </c>
      <c r="F43" s="10"/>
      <c r="G43" s="10"/>
      <c r="H43" s="73" t="s">
        <v>173</v>
      </c>
      <c r="I43" s="24"/>
      <c r="J43" s="11" t="s">
        <v>172</v>
      </c>
      <c r="K43" s="11" t="s">
        <v>171</v>
      </c>
      <c r="L43" s="19">
        <f t="shared" si="0"/>
        <v>0</v>
      </c>
      <c r="M43" s="10"/>
      <c r="N43" s="21"/>
      <c r="O43" s="21"/>
      <c r="P43" s="21"/>
      <c r="Q43" s="21"/>
      <c r="R43" s="21"/>
      <c r="S43" s="21"/>
    </row>
    <row r="44" spans="1:19" ht="15">
      <c r="A44" s="10" t="s">
        <v>221</v>
      </c>
      <c r="B44" s="10"/>
      <c r="C44" s="11" t="s">
        <v>171</v>
      </c>
      <c r="D44" s="11" t="s">
        <v>171</v>
      </c>
      <c r="E44" s="19">
        <f t="shared" si="1"/>
        <v>0</v>
      </c>
      <c r="F44" s="10"/>
      <c r="G44" s="10"/>
      <c r="H44" s="73" t="s">
        <v>171</v>
      </c>
      <c r="I44" s="24"/>
      <c r="J44" s="11" t="s">
        <v>260</v>
      </c>
      <c r="K44" s="11" t="s">
        <v>260</v>
      </c>
      <c r="L44" s="19">
        <f t="shared" si="0"/>
        <v>0</v>
      </c>
      <c r="M44" s="10"/>
      <c r="N44" s="21"/>
      <c r="O44" s="21"/>
      <c r="P44" s="21"/>
      <c r="Q44" s="21"/>
      <c r="R44" s="21"/>
      <c r="S44" s="21"/>
    </row>
    <row r="45" spans="1:19" ht="15">
      <c r="A45" s="10" t="s">
        <v>245</v>
      </c>
      <c r="C45" s="11" t="s">
        <v>171</v>
      </c>
      <c r="D45" s="11" t="s">
        <v>171</v>
      </c>
      <c r="E45" s="19">
        <f t="shared" si="1"/>
        <v>0</v>
      </c>
      <c r="F45" s="10"/>
      <c r="G45" s="10"/>
      <c r="H45" s="73" t="s">
        <v>171</v>
      </c>
      <c r="I45" s="24"/>
      <c r="J45" s="11" t="s">
        <v>171</v>
      </c>
      <c r="K45" s="11" t="s">
        <v>171</v>
      </c>
      <c r="L45" s="19">
        <f t="shared" si="0"/>
        <v>0</v>
      </c>
      <c r="M45" s="10"/>
      <c r="N45" s="21"/>
      <c r="O45" s="21" t="s">
        <v>188</v>
      </c>
      <c r="P45" s="21"/>
      <c r="Q45" s="21">
        <v>2022</v>
      </c>
      <c r="R45" s="21"/>
      <c r="S45" s="21"/>
    </row>
    <row r="46" spans="1:19" ht="15">
      <c r="A46" s="10" t="s">
        <v>173</v>
      </c>
      <c r="C46" s="11" t="s">
        <v>260</v>
      </c>
      <c r="D46" s="11" t="s">
        <v>260</v>
      </c>
      <c r="E46" s="19">
        <f t="shared" si="1"/>
        <v>0</v>
      </c>
      <c r="F46" s="10"/>
      <c r="G46" s="10"/>
      <c r="H46" s="73" t="s">
        <v>171</v>
      </c>
      <c r="I46" s="24"/>
      <c r="J46" s="11" t="s">
        <v>171</v>
      </c>
      <c r="K46" s="11" t="s">
        <v>171</v>
      </c>
      <c r="L46" s="19">
        <f t="shared" si="0"/>
        <v>0</v>
      </c>
      <c r="M46" s="10"/>
      <c r="N46" s="21"/>
      <c r="O46" s="21" t="s">
        <v>187</v>
      </c>
      <c r="P46" s="21"/>
      <c r="Q46" s="21" t="s">
        <v>232</v>
      </c>
      <c r="R46" s="21"/>
      <c r="S46" s="21"/>
    </row>
    <row r="47" spans="1:19" ht="15">
      <c r="A47" s="68" t="s">
        <v>200</v>
      </c>
      <c r="B47" s="10"/>
      <c r="C47" s="11" t="s">
        <v>171</v>
      </c>
      <c r="D47" s="11" t="s">
        <v>171</v>
      </c>
      <c r="E47" s="19">
        <f t="shared" si="1"/>
        <v>0</v>
      </c>
      <c r="F47" s="10"/>
      <c r="G47" s="10"/>
      <c r="H47" s="73" t="s">
        <v>226</v>
      </c>
      <c r="I47" s="24"/>
      <c r="J47" s="11" t="s">
        <v>172</v>
      </c>
      <c r="K47" s="11" t="s">
        <v>171</v>
      </c>
      <c r="L47" s="19">
        <f t="shared" si="0"/>
        <v>0</v>
      </c>
      <c r="M47" s="10"/>
      <c r="N47" s="21"/>
      <c r="O47" s="21" t="s">
        <v>186</v>
      </c>
      <c r="P47" s="21"/>
      <c r="Q47" s="21">
        <v>41675</v>
      </c>
      <c r="R47" s="21"/>
      <c r="S47" s="21"/>
    </row>
    <row r="48" spans="1:19" ht="15" thickBot="1">
      <c r="A48" s="25"/>
      <c r="B48" s="25"/>
      <c r="C48" s="25"/>
      <c r="D48" s="25"/>
      <c r="E48" s="25"/>
      <c r="F48" s="7"/>
      <c r="G48" s="7"/>
      <c r="H48" s="74"/>
      <c r="I48" s="25"/>
      <c r="J48" s="26"/>
      <c r="K48" s="26"/>
      <c r="L48" s="25"/>
      <c r="M48" s="10"/>
      <c r="N48" s="21"/>
      <c r="O48" s="21" t="s">
        <v>194</v>
      </c>
      <c r="P48" s="21"/>
      <c r="Q48" s="82">
        <v>12950</v>
      </c>
      <c r="R48" s="21"/>
      <c r="S48" s="21"/>
    </row>
    <row r="49" spans="1:29" ht="15" thickTop="1">
      <c r="A49" s="7" t="s">
        <v>59</v>
      </c>
      <c r="B49" s="7"/>
      <c r="C49" s="19">
        <f>SUM(C18:C47)</f>
        <v>0</v>
      </c>
      <c r="D49" s="19">
        <f>SUM(D18:D47)</f>
        <v>0</v>
      </c>
      <c r="E49" s="19">
        <f>SUM(E18:E47)</f>
        <v>0</v>
      </c>
      <c r="F49" s="7"/>
      <c r="G49" s="7"/>
      <c r="H49" s="7" t="s">
        <v>60</v>
      </c>
      <c r="I49" s="19"/>
      <c r="J49" s="19">
        <f>SUM(J14:J47)</f>
        <v>0</v>
      </c>
      <c r="K49" s="19">
        <f>SUM(K14:K47)</f>
        <v>0</v>
      </c>
      <c r="L49" s="19">
        <f>SUM(L14:L47)</f>
        <v>0</v>
      </c>
      <c r="M49" s="10"/>
      <c r="N49" s="21"/>
      <c r="O49" s="21" t="s">
        <v>197</v>
      </c>
      <c r="P49" s="21"/>
      <c r="Q49" s="21">
        <v>2000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7"/>
      <c r="B50" s="7"/>
      <c r="C50" s="7"/>
      <c r="D50" s="7"/>
      <c r="E50" s="7"/>
      <c r="F50" s="7"/>
      <c r="G50" s="56" t="s">
        <v>61</v>
      </c>
      <c r="H50" s="56"/>
      <c r="I50" s="56"/>
      <c r="J50" s="11" t="s">
        <v>171</v>
      </c>
      <c r="K50" s="19" t="s">
        <v>62</v>
      </c>
      <c r="L50" s="19">
        <f>(K50+J50)</f>
        <v>0</v>
      </c>
      <c r="M50" s="10"/>
      <c r="N50" s="9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7"/>
      <c r="B51" s="7"/>
      <c r="C51" s="7"/>
      <c r="D51" s="7"/>
      <c r="E51" s="7"/>
      <c r="F51" s="7"/>
      <c r="G51" s="7" t="s">
        <v>63</v>
      </c>
      <c r="H51" s="7"/>
      <c r="I51" s="7"/>
      <c r="J51" s="19">
        <f>E129</f>
        <v>0</v>
      </c>
      <c r="K51" s="19" t="s">
        <v>62</v>
      </c>
      <c r="L51" s="19">
        <f>(K51+J51)</f>
        <v>0</v>
      </c>
      <c r="M51" s="10"/>
      <c r="N51" s="9"/>
      <c r="O51" s="21"/>
      <c r="P51" s="21" t="s">
        <v>64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.75" thickBot="1">
      <c r="A52" s="56" t="s">
        <v>234</v>
      </c>
      <c r="B52" s="56"/>
      <c r="C52" s="56"/>
      <c r="D52" s="56"/>
      <c r="E52" s="7"/>
      <c r="F52" s="7"/>
      <c r="G52" s="7" t="s">
        <v>65</v>
      </c>
      <c r="H52" s="7"/>
      <c r="I52" s="7"/>
      <c r="J52" s="19" t="s">
        <v>62</v>
      </c>
      <c r="K52" s="19">
        <f>F130</f>
        <v>0</v>
      </c>
      <c r="L52" s="19">
        <f>(K52+J52)</f>
        <v>0</v>
      </c>
      <c r="M52" s="10"/>
      <c r="N52" s="9"/>
      <c r="O52" s="21" t="s">
        <v>233</v>
      </c>
      <c r="P52" s="21"/>
      <c r="Q52" s="21"/>
      <c r="R52" s="21"/>
      <c r="S52" s="21"/>
      <c r="T52" s="21" t="s">
        <v>66</v>
      </c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5" thickTop="1">
      <c r="A53" s="16"/>
      <c r="B53" s="16"/>
      <c r="C53" s="16"/>
      <c r="D53" s="16"/>
      <c r="E53" s="16"/>
      <c r="F53" s="7"/>
      <c r="G53" s="7" t="s">
        <v>67</v>
      </c>
      <c r="H53" s="7"/>
      <c r="I53" s="7"/>
      <c r="J53" s="19">
        <f>IF(E91&gt;0,MINA(1080000,E91),0)</f>
        <v>0</v>
      </c>
      <c r="K53" s="19">
        <f>IF(F91&gt;0,MINA(1080000-E91,F91),0)</f>
        <v>0</v>
      </c>
      <c r="L53" s="19">
        <f>IF(E91+F91&gt;1080000,1080000,E91+F91)</f>
        <v>0</v>
      </c>
      <c r="M53" s="10"/>
      <c r="N53" s="9"/>
      <c r="O53" s="21"/>
      <c r="P53" s="21"/>
      <c r="Q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5.75" thickBot="1">
      <c r="A54" s="7"/>
      <c r="B54" s="7"/>
      <c r="C54" s="17" t="s">
        <v>68</v>
      </c>
      <c r="D54" s="17" t="s">
        <v>12</v>
      </c>
      <c r="E54" s="17" t="s">
        <v>9</v>
      </c>
      <c r="F54" s="7"/>
      <c r="G54" s="7" t="s">
        <v>227</v>
      </c>
      <c r="H54" s="7"/>
      <c r="I54" s="7"/>
      <c r="J54" s="25"/>
      <c r="K54" s="25"/>
      <c r="L54" s="25"/>
      <c r="M54" s="10"/>
      <c r="N54" s="21"/>
      <c r="O54" s="21" t="s">
        <v>69</v>
      </c>
      <c r="P54" s="27">
        <v>0</v>
      </c>
      <c r="Q54" s="61">
        <v>10275</v>
      </c>
      <c r="R54" s="61">
        <v>41775</v>
      </c>
      <c r="S54" s="61">
        <v>89075</v>
      </c>
      <c r="T54" s="61">
        <v>170050</v>
      </c>
      <c r="U54" s="61">
        <v>215950</v>
      </c>
      <c r="V54" s="61">
        <v>539900</v>
      </c>
      <c r="W54" s="27"/>
      <c r="X54" s="27"/>
      <c r="Y54" s="27"/>
      <c r="Z54" s="27"/>
      <c r="AA54" s="27"/>
      <c r="AB54" s="27"/>
      <c r="AC54" s="27"/>
    </row>
    <row r="55" spans="1:29" ht="15.75" thickBot="1" thickTop="1">
      <c r="A55" s="7"/>
      <c r="B55" s="7"/>
      <c r="C55" s="17" t="s">
        <v>15</v>
      </c>
      <c r="D55" s="17" t="s">
        <v>16</v>
      </c>
      <c r="E55" s="17" t="s">
        <v>13</v>
      </c>
      <c r="F55" s="7"/>
      <c r="G55" s="7"/>
      <c r="H55" s="7" t="s">
        <v>70</v>
      </c>
      <c r="I55" s="7"/>
      <c r="J55" s="19">
        <f>SUM(J50:J53)</f>
        <v>0</v>
      </c>
      <c r="K55" s="19">
        <f>SUM(K50:K53)</f>
        <v>0</v>
      </c>
      <c r="L55" s="19">
        <f>SUM(L50:L53)</f>
        <v>0</v>
      </c>
      <c r="M55" s="10"/>
      <c r="N55" s="21"/>
      <c r="O55" s="21" t="s">
        <v>71</v>
      </c>
      <c r="P55" s="27">
        <v>1.46936793852786E-39</v>
      </c>
      <c r="Q55" s="27">
        <f>Q54*0.1</f>
        <v>1027.5</v>
      </c>
      <c r="R55" s="27">
        <f>TRUNC((((R54-Q54)*0.12)+Q55)+0.5)</f>
        <v>4808</v>
      </c>
      <c r="S55" s="27">
        <f>TRUNC((((S54-R54)*0.22)+R55)+0.5)</f>
        <v>15214</v>
      </c>
      <c r="T55" s="27">
        <f>TRUNC((((T54-S54)*0.24)+S55)+0.5)</f>
        <v>34648</v>
      </c>
      <c r="U55" s="27">
        <f>TRUNC((((U54-T54)*0.32)+T55)+0.5)</f>
        <v>49336</v>
      </c>
      <c r="V55" s="27">
        <f>TRUNC((((V54-U54)*0.35)+U55)+0.5)</f>
        <v>162719</v>
      </c>
      <c r="W55" s="27"/>
      <c r="X55" s="27"/>
      <c r="Y55" s="27"/>
      <c r="Z55" s="27"/>
      <c r="AA55" s="27"/>
      <c r="AB55" s="27"/>
      <c r="AC55" s="27"/>
    </row>
    <row r="56" spans="1:29" ht="15" thickTop="1">
      <c r="A56" s="10"/>
      <c r="B56" s="10"/>
      <c r="C56" s="16"/>
      <c r="D56" s="16"/>
      <c r="E56" s="16"/>
      <c r="F56" s="7"/>
      <c r="G56" s="7"/>
      <c r="H56" s="7" t="s">
        <v>72</v>
      </c>
      <c r="I56" s="7"/>
      <c r="J56" s="19">
        <f>J49+J55</f>
        <v>0</v>
      </c>
      <c r="K56" s="19">
        <f>K49+K55</f>
        <v>0</v>
      </c>
      <c r="L56" s="19">
        <f>L49+L55</f>
        <v>0</v>
      </c>
      <c r="M56" s="10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ht="15" thickBot="1">
      <c r="A57" s="7" t="s">
        <v>168</v>
      </c>
      <c r="B57" s="7"/>
      <c r="C57" s="11" t="s">
        <v>171</v>
      </c>
      <c r="D57" s="11" t="s">
        <v>171</v>
      </c>
      <c r="E57" s="19">
        <f aca="true" t="shared" si="2" ref="E57:E62">(C57+D57)</f>
        <v>0</v>
      </c>
      <c r="F57" s="7"/>
      <c r="G57" s="7"/>
      <c r="H57" s="25"/>
      <c r="I57" s="25"/>
      <c r="J57" s="25"/>
      <c r="K57" s="25"/>
      <c r="L57" s="25"/>
      <c r="M57" s="10"/>
      <c r="N57" s="28" t="s">
        <v>66</v>
      </c>
      <c r="O57" s="21" t="s">
        <v>69</v>
      </c>
      <c r="P57" s="27">
        <f aca="true" t="shared" si="3" ref="P57:V57">P54</f>
        <v>0</v>
      </c>
      <c r="Q57" s="27">
        <f>Q54</f>
        <v>10275</v>
      </c>
      <c r="R57" s="27">
        <f t="shared" si="3"/>
        <v>41775</v>
      </c>
      <c r="S57" s="27">
        <f t="shared" si="3"/>
        <v>89075</v>
      </c>
      <c r="T57" s="27">
        <f t="shared" si="3"/>
        <v>170050</v>
      </c>
      <c r="U57" s="27">
        <f t="shared" si="3"/>
        <v>215950</v>
      </c>
      <c r="V57" s="27">
        <f t="shared" si="3"/>
        <v>539900</v>
      </c>
      <c r="W57" s="27"/>
      <c r="X57" s="27"/>
      <c r="Y57" s="27"/>
      <c r="Z57" s="27"/>
      <c r="AA57" s="27"/>
      <c r="AB57" s="27"/>
      <c r="AC57" s="27"/>
    </row>
    <row r="58" spans="1:29" ht="15.75" thickTop="1">
      <c r="A58" s="7" t="s">
        <v>73</v>
      </c>
      <c r="B58" s="7"/>
      <c r="C58" s="11" t="s">
        <v>171</v>
      </c>
      <c r="D58" s="11" t="s">
        <v>171</v>
      </c>
      <c r="E58" s="19">
        <f t="shared" si="2"/>
        <v>0</v>
      </c>
      <c r="F58" s="7"/>
      <c r="G58" s="7"/>
      <c r="H58" s="7" t="s">
        <v>74</v>
      </c>
      <c r="I58" s="7"/>
      <c r="J58" s="19">
        <f>C49-J56</f>
        <v>0</v>
      </c>
      <c r="K58" s="19">
        <f>D49-K56</f>
        <v>0</v>
      </c>
      <c r="L58" s="19">
        <f>E49-L56</f>
        <v>0</v>
      </c>
      <c r="M58" s="10"/>
      <c r="N58" s="28" t="s">
        <v>66</v>
      </c>
      <c r="O58" s="21" t="s">
        <v>75</v>
      </c>
      <c r="P58" s="50">
        <v>0.1</v>
      </c>
      <c r="Q58" s="62">
        <v>0.12</v>
      </c>
      <c r="R58" s="62">
        <v>0.22</v>
      </c>
      <c r="S58" s="62">
        <v>0.24</v>
      </c>
      <c r="T58" s="62">
        <v>0.32</v>
      </c>
      <c r="U58" s="62">
        <v>0.35</v>
      </c>
      <c r="V58" s="62">
        <v>0.37</v>
      </c>
      <c r="W58" s="27"/>
      <c r="X58" s="27"/>
      <c r="Y58" s="27"/>
      <c r="Z58" s="27"/>
      <c r="AA58" s="27"/>
      <c r="AB58" s="27"/>
      <c r="AC58" s="27"/>
    </row>
    <row r="59" spans="1:29" ht="15">
      <c r="A59" s="7" t="s">
        <v>199</v>
      </c>
      <c r="B59" s="10"/>
      <c r="C59" s="11" t="s">
        <v>171</v>
      </c>
      <c r="D59" s="11" t="s">
        <v>171</v>
      </c>
      <c r="E59" s="19">
        <f t="shared" si="2"/>
        <v>0</v>
      </c>
      <c r="F59" s="7"/>
      <c r="G59" s="7"/>
      <c r="H59" s="7"/>
      <c r="I59" s="7"/>
      <c r="J59" s="7"/>
      <c r="K59" s="7"/>
      <c r="L59" s="7"/>
      <c r="M59" s="10"/>
      <c r="N59" s="21"/>
      <c r="O59" s="21"/>
      <c r="P59" s="50">
        <v>0</v>
      </c>
      <c r="Q59" s="50">
        <v>0</v>
      </c>
      <c r="R59" s="50">
        <v>0.15</v>
      </c>
      <c r="S59" s="50">
        <v>0.15</v>
      </c>
      <c r="T59" s="50">
        <v>0.15</v>
      </c>
      <c r="U59" s="50">
        <v>0.15</v>
      </c>
      <c r="V59" s="50">
        <v>0.2</v>
      </c>
      <c r="W59" s="27"/>
      <c r="X59" s="27"/>
      <c r="Y59" s="27"/>
      <c r="Z59" s="27"/>
      <c r="AA59" s="27"/>
      <c r="AB59" s="27"/>
      <c r="AC59" s="27"/>
    </row>
    <row r="60" spans="1:29" ht="15">
      <c r="A60" s="70" t="s">
        <v>207</v>
      </c>
      <c r="B60" s="10"/>
      <c r="C60" s="11" t="s">
        <v>171</v>
      </c>
      <c r="D60" s="11" t="s">
        <v>171</v>
      </c>
      <c r="E60" s="19">
        <f t="shared" si="2"/>
        <v>0</v>
      </c>
      <c r="F60" s="7"/>
      <c r="G60" s="7"/>
      <c r="H60" s="7"/>
      <c r="I60" s="7"/>
      <c r="J60" s="7"/>
      <c r="K60" s="7"/>
      <c r="L60" s="7"/>
      <c r="M60" s="7"/>
      <c r="N60" s="21"/>
      <c r="O60" s="21" t="s">
        <v>69</v>
      </c>
      <c r="P60" s="27">
        <f aca="true" t="shared" si="4" ref="P60:V60">P54</f>
        <v>0</v>
      </c>
      <c r="Q60" s="27">
        <f t="shared" si="4"/>
        <v>10275</v>
      </c>
      <c r="R60" s="27">
        <f t="shared" si="4"/>
        <v>41775</v>
      </c>
      <c r="S60" s="27">
        <f t="shared" si="4"/>
        <v>89075</v>
      </c>
      <c r="T60" s="27">
        <f t="shared" si="4"/>
        <v>170050</v>
      </c>
      <c r="U60" s="27">
        <f t="shared" si="4"/>
        <v>215950</v>
      </c>
      <c r="V60" s="27">
        <f t="shared" si="4"/>
        <v>539900</v>
      </c>
      <c r="W60" s="27"/>
      <c r="X60" s="27"/>
      <c r="Y60" s="27"/>
      <c r="Z60" s="27"/>
      <c r="AA60" s="27"/>
      <c r="AB60" s="27"/>
      <c r="AC60" s="27"/>
    </row>
    <row r="61" spans="1:29" ht="15" thickBot="1">
      <c r="A61" s="79" t="s">
        <v>237</v>
      </c>
      <c r="B61" s="71"/>
      <c r="C61" s="72" t="s">
        <v>171</v>
      </c>
      <c r="D61" s="72" t="s">
        <v>171</v>
      </c>
      <c r="E61" s="25">
        <f t="shared" si="2"/>
        <v>0</v>
      </c>
      <c r="F61" s="7"/>
      <c r="G61" s="7"/>
      <c r="H61" s="7"/>
      <c r="I61" s="7"/>
      <c r="J61" s="7"/>
      <c r="K61" s="7"/>
      <c r="L61" s="7"/>
      <c r="M61" s="7"/>
      <c r="N61" s="21"/>
      <c r="O61" s="21" t="s">
        <v>76</v>
      </c>
      <c r="P61" s="27">
        <v>0</v>
      </c>
      <c r="Q61" s="27">
        <v>0</v>
      </c>
      <c r="R61" s="27">
        <f>R60</f>
        <v>41775</v>
      </c>
      <c r="S61" s="27">
        <f>S60</f>
        <v>89075</v>
      </c>
      <c r="T61" s="27">
        <f>T60</f>
        <v>170050</v>
      </c>
      <c r="U61" s="27">
        <f>U60</f>
        <v>215950</v>
      </c>
      <c r="V61" s="27">
        <f>V60</f>
        <v>539900</v>
      </c>
      <c r="W61" s="27"/>
      <c r="X61" s="27"/>
      <c r="Y61" s="27"/>
      <c r="Z61" s="27"/>
      <c r="AA61" s="27"/>
      <c r="AB61" s="27"/>
      <c r="AC61" s="27"/>
    </row>
    <row r="62" spans="1:29" ht="15" thickTop="1">
      <c r="A62" s="7" t="s">
        <v>77</v>
      </c>
      <c r="B62" s="7"/>
      <c r="C62" s="19">
        <f>SUM(C57:C61)</f>
        <v>0</v>
      </c>
      <c r="D62" s="19">
        <f>SUM(D57:D61)</f>
        <v>0</v>
      </c>
      <c r="E62" s="19">
        <f t="shared" si="2"/>
        <v>0</v>
      </c>
      <c r="F62" s="7"/>
      <c r="G62" s="7"/>
      <c r="H62" s="7"/>
      <c r="I62" s="7"/>
      <c r="J62" s="7"/>
      <c r="K62" s="7"/>
      <c r="L62" s="7"/>
      <c r="M62" s="7"/>
      <c r="N62" s="9"/>
      <c r="O62" s="9"/>
      <c r="P62" s="9"/>
      <c r="Q62" s="9"/>
      <c r="R62" s="9"/>
      <c r="S62" s="9"/>
      <c r="T62" s="9"/>
      <c r="U62" s="9"/>
      <c r="V62" s="21"/>
      <c r="W62" s="21"/>
      <c r="X62" s="21"/>
      <c r="Y62" s="21"/>
      <c r="Z62" s="21"/>
      <c r="AA62" s="21"/>
      <c r="AB62" s="21"/>
      <c r="AC62" s="21"/>
    </row>
    <row r="63" spans="6:29" ht="15">
      <c r="F63" s="7"/>
      <c r="G63" s="7"/>
      <c r="H63" s="7"/>
      <c r="I63" s="7"/>
      <c r="J63" s="7"/>
      <c r="K63" s="7"/>
      <c r="L63" s="7"/>
      <c r="M63" s="7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ht="15">
      <c r="O64" t="s">
        <v>177</v>
      </c>
    </row>
    <row r="65" ht="15"/>
    <row r="66" spans="15:18" ht="15.75">
      <c r="O66" s="60" t="s">
        <v>179</v>
      </c>
      <c r="P66" s="60"/>
      <c r="R66" s="60">
        <v>147000</v>
      </c>
    </row>
    <row r="67" spans="15:18" ht="15">
      <c r="O67" t="s">
        <v>180</v>
      </c>
      <c r="R67">
        <f>R66/0.9235</f>
        <v>159177.04385489985</v>
      </c>
    </row>
    <row r="68" spans="1:12" ht="15" customHeight="1">
      <c r="A68" s="86" t="s">
        <v>176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1:12" ht="15" customHeight="1">
      <c r="A69" s="87" t="s">
        <v>224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1:12" ht="15" customHeight="1">
      <c r="A70" s="86" t="s">
        <v>164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ht="15"/>
    <row r="72" ht="15"/>
    <row r="73" spans="1:13" ht="15">
      <c r="A73" s="7"/>
      <c r="B73" s="7"/>
      <c r="C73" s="7"/>
      <c r="D73" s="7"/>
      <c r="E73" s="7"/>
      <c r="F73" s="7"/>
      <c r="G73" s="7" t="s">
        <v>78</v>
      </c>
      <c r="H73" s="7"/>
      <c r="I73" s="7"/>
      <c r="J73" s="7"/>
      <c r="K73" s="7"/>
      <c r="L73" s="7"/>
      <c r="M73" s="7"/>
    </row>
    <row r="74" spans="1:19" ht="15">
      <c r="A74" s="7"/>
      <c r="B74" s="7"/>
      <c r="C74" s="7"/>
      <c r="D74" s="7"/>
      <c r="E74" s="7"/>
      <c r="F74" s="7"/>
      <c r="G74" s="7"/>
      <c r="H74" s="7"/>
      <c r="I74" s="57" t="s">
        <v>79</v>
      </c>
      <c r="J74" s="57"/>
      <c r="K74" s="57"/>
      <c r="L74" s="7"/>
      <c r="M74" s="7"/>
      <c r="O74" s="21"/>
      <c r="P74" s="21"/>
      <c r="Q74" s="22"/>
      <c r="R74" s="22"/>
      <c r="S74" s="22"/>
    </row>
    <row r="75" spans="1:19" ht="15">
      <c r="A75" s="7"/>
      <c r="B75" s="57" t="s">
        <v>80</v>
      </c>
      <c r="C75" s="57"/>
      <c r="D75" s="57"/>
      <c r="E75" s="7"/>
      <c r="G75" s="7"/>
      <c r="H75" s="7"/>
      <c r="I75" s="7"/>
      <c r="J75" s="7"/>
      <c r="K75" s="7"/>
      <c r="L75" s="7"/>
      <c r="M75" s="7"/>
      <c r="O75" s="21"/>
      <c r="P75" s="21"/>
      <c r="Q75" s="21"/>
      <c r="R75" s="21"/>
      <c r="S75" s="21"/>
    </row>
    <row r="76" spans="1:13" ht="15">
      <c r="A76" s="10"/>
      <c r="B76" s="10"/>
      <c r="C76" s="10"/>
      <c r="D76" s="10"/>
      <c r="E76" s="7"/>
      <c r="F76" s="7"/>
      <c r="G76" s="7"/>
      <c r="H76" s="7"/>
      <c r="I76" s="7"/>
      <c r="J76" s="7"/>
      <c r="K76" s="30" t="s">
        <v>81</v>
      </c>
      <c r="L76" s="30" t="s">
        <v>82</v>
      </c>
      <c r="M76" s="30" t="s">
        <v>83</v>
      </c>
    </row>
    <row r="77" spans="1:16" ht="15">
      <c r="A77" s="7" t="s">
        <v>84</v>
      </c>
      <c r="B77" s="7"/>
      <c r="C77" s="10"/>
      <c r="D77" s="10"/>
      <c r="E77" s="7"/>
      <c r="F77" s="7"/>
      <c r="G77" s="7"/>
      <c r="H77" s="7"/>
      <c r="I77" s="7"/>
      <c r="J77" s="7"/>
      <c r="K77" s="7"/>
      <c r="L77" s="7"/>
      <c r="M77" s="7"/>
      <c r="P77" t="s">
        <v>94</v>
      </c>
    </row>
    <row r="78" spans="1:13" ht="15">
      <c r="A78" s="7" t="s">
        <v>86</v>
      </c>
      <c r="B78" s="7"/>
      <c r="C78" s="11" t="s">
        <v>259</v>
      </c>
      <c r="D78" s="11" t="s">
        <v>171</v>
      </c>
      <c r="E78" s="19">
        <f>(C78+D78)</f>
        <v>0</v>
      </c>
      <c r="F78" s="7"/>
      <c r="G78" s="7"/>
      <c r="H78" s="7" t="s">
        <v>85</v>
      </c>
      <c r="I78" s="7"/>
      <c r="J78" s="7"/>
      <c r="K78" s="19">
        <f>J58</f>
        <v>0</v>
      </c>
      <c r="L78" s="19">
        <f>L58</f>
        <v>0</v>
      </c>
      <c r="M78" s="19">
        <f>(L78-K78)</f>
        <v>0</v>
      </c>
    </row>
    <row r="79" spans="1:19" ht="15">
      <c r="A79" s="29" t="s">
        <v>185</v>
      </c>
      <c r="F79" s="7"/>
      <c r="G79" s="7"/>
      <c r="H79" s="7" t="s">
        <v>87</v>
      </c>
      <c r="I79" s="7"/>
      <c r="J79" s="7"/>
      <c r="K79" s="19">
        <f>K130/2</f>
        <v>0</v>
      </c>
      <c r="L79" s="19">
        <f>L130/2</f>
        <v>0</v>
      </c>
      <c r="M79" s="19">
        <f>(L79-K79)</f>
        <v>0</v>
      </c>
      <c r="P79" t="s">
        <v>97</v>
      </c>
      <c r="R79">
        <f>IF(K104+K85&lt;0,0,+K104+K85)</f>
        <v>0</v>
      </c>
      <c r="S79">
        <f>IF(L104+L85&lt;0,0,+L104+L85)</f>
        <v>0</v>
      </c>
    </row>
    <row r="80" spans="1:19" ht="15" thickBot="1">
      <c r="A80" s="29" t="s">
        <v>183</v>
      </c>
      <c r="C80" s="11" t="s">
        <v>259</v>
      </c>
      <c r="D80" s="11" t="s">
        <v>172</v>
      </c>
      <c r="E80" s="19">
        <f>(C80+D80)</f>
        <v>0</v>
      </c>
      <c r="F80" s="7"/>
      <c r="G80" s="7"/>
      <c r="H80" s="31"/>
      <c r="I80" s="31"/>
      <c r="J80" s="31"/>
      <c r="K80" s="31"/>
      <c r="L80" s="31"/>
      <c r="M80" s="31"/>
      <c r="P80" s="21" t="s">
        <v>98</v>
      </c>
      <c r="Q80" s="21"/>
      <c r="R80" s="22">
        <f>IF(R79&lt;=0,0,HLOOKUP(R79,$P$60:$V$61,1))</f>
        <v>0</v>
      </c>
      <c r="S80" s="22">
        <f>IF(S79&lt;=0,0,HLOOKUP(S79,$P$60:$V$61,1))</f>
        <v>0</v>
      </c>
    </row>
    <row r="81" spans="1:19" ht="15" thickTop="1">
      <c r="A81" s="7" t="s">
        <v>184</v>
      </c>
      <c r="B81" s="7"/>
      <c r="C81" s="11"/>
      <c r="D81" s="11"/>
      <c r="E81" s="7"/>
      <c r="F81" s="7"/>
      <c r="G81" s="7"/>
      <c r="H81" s="7" t="s">
        <v>88</v>
      </c>
      <c r="I81" s="7"/>
      <c r="J81" s="7"/>
      <c r="K81" s="19">
        <f>K78-K79</f>
        <v>0</v>
      </c>
      <c r="L81" s="19">
        <f>L78-L79</f>
        <v>0</v>
      </c>
      <c r="M81" s="19">
        <f aca="true" t="shared" si="5" ref="M81:M87">(L81-K81)</f>
        <v>0</v>
      </c>
      <c r="P81" s="21" t="s">
        <v>102</v>
      </c>
      <c r="Q81" s="21"/>
      <c r="R81" s="22">
        <f>IF((R79-R80)&lt;=0,0,(R79-R80))</f>
        <v>0</v>
      </c>
      <c r="S81" s="22">
        <f>IF((S79-S80)&lt;=0,0,(S79-S80))</f>
        <v>0</v>
      </c>
    </row>
    <row r="82" spans="1:19" ht="15">
      <c r="A82" s="7" t="s">
        <v>202</v>
      </c>
      <c r="B82" s="7"/>
      <c r="C82" s="11" t="s">
        <v>259</v>
      </c>
      <c r="D82" s="11" t="s">
        <v>171</v>
      </c>
      <c r="E82" s="19">
        <f>(C82+D82)</f>
        <v>0</v>
      </c>
      <c r="F82" s="7"/>
      <c r="G82" s="7"/>
      <c r="H82" s="56" t="s">
        <v>217</v>
      </c>
      <c r="I82" s="56"/>
      <c r="J82" s="56"/>
      <c r="K82" s="11" t="s">
        <v>173</v>
      </c>
      <c r="L82" s="11" t="s">
        <v>171</v>
      </c>
      <c r="M82" s="19">
        <f t="shared" si="5"/>
        <v>0</v>
      </c>
      <c r="N82" s="21"/>
      <c r="P82" s="21" t="s">
        <v>103</v>
      </c>
      <c r="Q82" s="21"/>
      <c r="R82" s="51">
        <f>IF(R79&lt;=0,0,HLOOKUP(R79,$P$57:$V$61,2))</f>
        <v>0</v>
      </c>
      <c r="S82" s="48">
        <f>IF(S79&lt;=0,0,HLOOKUP(S79,$P$57:$V$61,2))</f>
        <v>0</v>
      </c>
    </row>
    <row r="83" spans="1:19" ht="15" thickBot="1">
      <c r="A83" s="29" t="s">
        <v>89</v>
      </c>
      <c r="F83" s="7"/>
      <c r="G83" s="7"/>
      <c r="H83" s="25" t="s">
        <v>90</v>
      </c>
      <c r="I83" s="25"/>
      <c r="J83" s="25"/>
      <c r="K83" s="32">
        <f>C62</f>
        <v>0</v>
      </c>
      <c r="L83" s="32">
        <f>E62</f>
        <v>0</v>
      </c>
      <c r="M83" s="32">
        <f t="shared" si="5"/>
        <v>0</v>
      </c>
      <c r="N83" s="21"/>
      <c r="P83" s="21" t="s">
        <v>104</v>
      </c>
      <c r="Q83" s="21"/>
      <c r="R83" s="22">
        <f>IF(R81=0,0,(R81*R82))</f>
        <v>0</v>
      </c>
      <c r="S83" s="22">
        <f>IF(S81=0,0,(S81*S82))</f>
        <v>0</v>
      </c>
    </row>
    <row r="84" spans="1:19" ht="15.75" thickBot="1" thickTop="1">
      <c r="A84" s="25" t="s">
        <v>230</v>
      </c>
      <c r="B84" s="25"/>
      <c r="C84" s="33" t="s">
        <v>171</v>
      </c>
      <c r="D84" s="25" t="s">
        <v>62</v>
      </c>
      <c r="E84" s="25">
        <f>C84+0</f>
        <v>0</v>
      </c>
      <c r="F84" s="7"/>
      <c r="G84" s="7"/>
      <c r="H84" s="29" t="s">
        <v>92</v>
      </c>
      <c r="K84" s="29">
        <f>K81+K83-K82</f>
        <v>0</v>
      </c>
      <c r="L84" s="29">
        <f>L81+L83-L82</f>
        <v>0</v>
      </c>
      <c r="M84" s="19">
        <f t="shared" si="5"/>
        <v>0</v>
      </c>
      <c r="P84" s="21" t="s">
        <v>106</v>
      </c>
      <c r="Q84" s="21"/>
      <c r="R84" s="22">
        <f>IF(R80=0,0,HLOOKUP(R79,$P$54:$V$55,2))</f>
        <v>0</v>
      </c>
      <c r="S84" s="22">
        <f>IF(S80=0,0,HLOOKUP(S79,$P$54:$V$55,2))</f>
        <v>0</v>
      </c>
    </row>
    <row r="85" spans="1:19" ht="15" thickTop="1">
      <c r="A85" s="7" t="s">
        <v>91</v>
      </c>
      <c r="B85" s="7"/>
      <c r="C85" s="19">
        <f>C78+C80+C82-C84</f>
        <v>0</v>
      </c>
      <c r="D85" s="19">
        <f>SUM(D78:D84)</f>
        <v>0</v>
      </c>
      <c r="E85" s="19">
        <f>(C85+D85)</f>
        <v>0</v>
      </c>
      <c r="F85" s="7"/>
      <c r="G85" s="7"/>
      <c r="H85" s="7" t="s">
        <v>93</v>
      </c>
      <c r="K85" s="19">
        <f>IF((+C78-C84)&lt;0,0,C78-C84)</f>
        <v>0</v>
      </c>
      <c r="L85" s="19">
        <f>IF((+E78-E84)&lt;0,0,E78+-E84)</f>
        <v>0</v>
      </c>
      <c r="M85" s="19">
        <f t="shared" si="5"/>
        <v>0</v>
      </c>
      <c r="P85" t="s">
        <v>108</v>
      </c>
      <c r="R85">
        <f>R83+R84-K109-K110</f>
        <v>0</v>
      </c>
      <c r="S85">
        <f>S83+S84-L109-L110</f>
        <v>0</v>
      </c>
    </row>
    <row r="86" spans="7:13" ht="15" thickBot="1">
      <c r="G86" s="7" t="s">
        <v>95</v>
      </c>
      <c r="H86" s="25" t="s">
        <v>211</v>
      </c>
      <c r="I86" s="25"/>
      <c r="J86" s="25"/>
      <c r="K86" s="34">
        <f>IF(K85=0,C78+C80+C82-C84,C82+C80)</f>
        <v>0</v>
      </c>
      <c r="L86" s="34">
        <f>IF(L85=0,E78+E80+E82-E84,E82+E80)</f>
        <v>0</v>
      </c>
      <c r="M86" s="32">
        <f t="shared" si="5"/>
        <v>0</v>
      </c>
    </row>
    <row r="87" spans="7:16" ht="15" thickTop="1">
      <c r="G87" s="7"/>
      <c r="H87" s="7" t="s">
        <v>96</v>
      </c>
      <c r="I87" s="7"/>
      <c r="J87" s="7"/>
      <c r="K87" s="19">
        <f>SUM(K84:K86)</f>
        <v>0</v>
      </c>
      <c r="L87" s="19">
        <f>SUM(L84:L86)</f>
        <v>0</v>
      </c>
      <c r="M87" s="19">
        <f t="shared" si="5"/>
        <v>0</v>
      </c>
      <c r="P87" t="s">
        <v>114</v>
      </c>
    </row>
    <row r="88" spans="7:19" ht="15">
      <c r="G88" s="7"/>
      <c r="P88" t="s">
        <v>118</v>
      </c>
      <c r="R88">
        <f>IF(K104+K85+K86&lt;0,0,+K104+K85+K86)</f>
        <v>0</v>
      </c>
      <c r="S88">
        <f>IF(L104+L85+L86&lt;0,0,+L104+L85+L86)</f>
        <v>0</v>
      </c>
    </row>
    <row r="89" spans="1:19" ht="15.75" thickBot="1">
      <c r="A89" s="56" t="s">
        <v>99</v>
      </c>
      <c r="B89" s="56"/>
      <c r="C89" s="56"/>
      <c r="D89" s="56"/>
      <c r="E89" s="56">
        <f>Q45</f>
        <v>2022</v>
      </c>
      <c r="F89" s="7"/>
      <c r="G89" s="7"/>
      <c r="H89" s="7" t="s">
        <v>100</v>
      </c>
      <c r="I89" s="7" t="s">
        <v>101</v>
      </c>
      <c r="J89" s="7"/>
      <c r="K89" s="10"/>
      <c r="L89" s="7"/>
      <c r="M89" s="7"/>
      <c r="N89" s="21"/>
      <c r="P89" t="s">
        <v>120</v>
      </c>
      <c r="R89">
        <f>IF(+R88-R79&lt;0,0,R88-R79)</f>
        <v>0</v>
      </c>
      <c r="S89">
        <f>IF(+S88-S79&lt;0,0,S88-S79)</f>
        <v>0</v>
      </c>
    </row>
    <row r="90" spans="1:19" ht="15.75" thickTop="1">
      <c r="A90" s="16"/>
      <c r="B90" s="16"/>
      <c r="C90" s="16"/>
      <c r="D90" s="16"/>
      <c r="E90" s="16"/>
      <c r="F90" s="16"/>
      <c r="G90" s="7" t="s">
        <v>95</v>
      </c>
      <c r="H90" s="80" t="s">
        <v>105</v>
      </c>
      <c r="I90" s="56"/>
      <c r="J90" s="56"/>
      <c r="K90" s="11" t="s">
        <v>171</v>
      </c>
      <c r="L90" s="11" t="s">
        <v>171</v>
      </c>
      <c r="M90" s="19">
        <f>(L90-K90)</f>
        <v>0</v>
      </c>
      <c r="N90" s="21"/>
      <c r="P90" s="64" t="s">
        <v>218</v>
      </c>
      <c r="Q90" s="21"/>
      <c r="R90" s="22">
        <f>IF(R89+R79&gt;Q47,IF(Q47-R79&lt;0,0,Q47-R79),IF(R89+R79&lt;0,0,R89))</f>
        <v>0</v>
      </c>
      <c r="S90" s="22">
        <f>IF(S89+S79&gt;Q47,IF(Q47-S79&lt;0,0,Q47-S79),IF(S89+S79&lt;0,0,S89))</f>
        <v>0</v>
      </c>
    </row>
    <row r="91" spans="1:19" ht="15.75" thickBot="1">
      <c r="A91" s="56" t="s">
        <v>246</v>
      </c>
      <c r="B91" s="56"/>
      <c r="C91" s="56"/>
      <c r="D91" s="56"/>
      <c r="E91" s="11" t="s">
        <v>259</v>
      </c>
      <c r="F91" s="11" t="s">
        <v>259</v>
      </c>
      <c r="G91" s="7" t="s">
        <v>95</v>
      </c>
      <c r="H91" s="81" t="s">
        <v>235</v>
      </c>
      <c r="I91" s="56"/>
      <c r="J91" s="56"/>
      <c r="K91" s="11" t="s">
        <v>171</v>
      </c>
      <c r="L91" s="11" t="s">
        <v>171</v>
      </c>
      <c r="M91" s="19">
        <f>(L91-K91)</f>
        <v>0</v>
      </c>
      <c r="N91" s="21"/>
      <c r="P91" s="65" t="s">
        <v>182</v>
      </c>
      <c r="R91" s="22">
        <f>R89-R90</f>
        <v>0</v>
      </c>
      <c r="S91" s="22">
        <f>S89-S90</f>
        <v>0</v>
      </c>
    </row>
    <row r="92" spans="1:19" ht="15.75" thickTop="1">
      <c r="A92" s="16"/>
      <c r="B92" s="16"/>
      <c r="C92" s="16"/>
      <c r="D92" s="16"/>
      <c r="E92" s="16"/>
      <c r="F92" s="16"/>
      <c r="G92" s="7" t="s">
        <v>95</v>
      </c>
      <c r="H92" s="80" t="s">
        <v>241</v>
      </c>
      <c r="I92" s="56"/>
      <c r="J92" s="56"/>
      <c r="K92" s="11" t="s">
        <v>171</v>
      </c>
      <c r="L92" s="11" t="s">
        <v>171</v>
      </c>
      <c r="M92" s="19">
        <f>(L92-K92)</f>
        <v>0</v>
      </c>
      <c r="N92" s="21"/>
      <c r="P92" t="s">
        <v>219</v>
      </c>
      <c r="R92" s="21">
        <f>ROUND(+R90*0,0)</f>
        <v>0</v>
      </c>
      <c r="S92" s="21">
        <f>ROUND(+S90*0,0)</f>
        <v>0</v>
      </c>
    </row>
    <row r="93" spans="1:19" ht="15" thickBot="1">
      <c r="A93" s="7" t="s">
        <v>107</v>
      </c>
      <c r="B93" s="7"/>
      <c r="C93" s="7"/>
      <c r="D93" s="7"/>
      <c r="E93" s="7"/>
      <c r="F93" s="7"/>
      <c r="G93" s="7"/>
      <c r="H93" s="25"/>
      <c r="I93" s="25"/>
      <c r="J93" s="25"/>
      <c r="K93" s="25"/>
      <c r="L93" s="25"/>
      <c r="M93" s="25"/>
      <c r="N93" s="21"/>
      <c r="P93" s="21" t="s">
        <v>181</v>
      </c>
      <c r="Q93" s="21"/>
      <c r="R93" s="21">
        <f>ROUND(+R91*0.15,0)</f>
        <v>0</v>
      </c>
      <c r="S93" s="21">
        <f>ROUND(+S91*0.15,0)</f>
        <v>0</v>
      </c>
    </row>
    <row r="94" spans="1:14" ht="15.75" thickBot="1" thickTop="1">
      <c r="A94" s="7"/>
      <c r="B94" s="7"/>
      <c r="C94" s="13" t="s">
        <v>109</v>
      </c>
      <c r="D94" s="13" t="s">
        <v>110</v>
      </c>
      <c r="E94" s="13" t="s">
        <v>111</v>
      </c>
      <c r="F94" s="13" t="s">
        <v>112</v>
      </c>
      <c r="G94" s="7"/>
      <c r="H94" s="7" t="s">
        <v>113</v>
      </c>
      <c r="I94" s="7"/>
      <c r="J94" s="7"/>
      <c r="K94" s="19">
        <f>K90+K91+K92</f>
        <v>0</v>
      </c>
      <c r="L94" s="19">
        <f>L90+L91+L92</f>
        <v>0</v>
      </c>
      <c r="M94" s="19">
        <f>(L94-K94)</f>
        <v>0</v>
      </c>
      <c r="N94" s="21"/>
    </row>
    <row r="95" spans="1:20" ht="15" thickTop="1">
      <c r="A95" s="7"/>
      <c r="B95" s="7"/>
      <c r="C95" s="16"/>
      <c r="D95" s="16"/>
      <c r="E95" s="16"/>
      <c r="F95" s="16"/>
      <c r="G95" s="7"/>
      <c r="H95" s="7"/>
      <c r="I95" s="7"/>
      <c r="J95" s="7"/>
      <c r="K95" s="7"/>
      <c r="L95" s="7"/>
      <c r="M95" s="7"/>
      <c r="N95" s="21"/>
      <c r="P95" t="s">
        <v>108</v>
      </c>
      <c r="Q95" s="21"/>
      <c r="R95" s="22">
        <f>SUM(R92:R93)</f>
        <v>0</v>
      </c>
      <c r="S95" s="22">
        <f>SUM(S92:S93)</f>
        <v>0</v>
      </c>
      <c r="T95" s="21"/>
    </row>
    <row r="96" spans="1:20" ht="15">
      <c r="A96" s="35" t="s">
        <v>115</v>
      </c>
      <c r="B96" s="7"/>
      <c r="C96" s="11" t="s">
        <v>171</v>
      </c>
      <c r="D96" s="11" t="s">
        <v>171</v>
      </c>
      <c r="E96" s="19">
        <f>C96*0.25</f>
        <v>0</v>
      </c>
      <c r="F96" s="19">
        <f>D96*0.25</f>
        <v>0</v>
      </c>
      <c r="G96" s="7"/>
      <c r="H96" s="36" t="s">
        <v>116</v>
      </c>
      <c r="I96" s="36"/>
      <c r="J96" s="36"/>
      <c r="K96" s="37">
        <f>(K87-K90-K91-K92)</f>
        <v>0</v>
      </c>
      <c r="L96" s="37">
        <f>(L87-L90-L91-L92)</f>
        <v>0</v>
      </c>
      <c r="M96" s="37">
        <f>(L96-K96)</f>
        <v>0</v>
      </c>
      <c r="N96" s="21" t="s">
        <v>117</v>
      </c>
      <c r="T96" s="21"/>
    </row>
    <row r="97" spans="1:20" ht="15">
      <c r="A97" s="35" t="s">
        <v>119</v>
      </c>
      <c r="B97" s="7"/>
      <c r="C97" s="11" t="s">
        <v>171</v>
      </c>
      <c r="D97" s="11" t="s">
        <v>171</v>
      </c>
      <c r="E97" s="19">
        <f>C97/6</f>
        <v>0</v>
      </c>
      <c r="F97" s="19">
        <f>D97/6</f>
        <v>0</v>
      </c>
      <c r="G97" s="7"/>
      <c r="H97" s="7"/>
      <c r="I97" s="7"/>
      <c r="J97" s="7"/>
      <c r="K97" s="7"/>
      <c r="L97" s="7"/>
      <c r="M97" s="7"/>
      <c r="N97" s="21"/>
      <c r="O97" s="21"/>
      <c r="T97" s="21"/>
    </row>
    <row r="98" spans="1:20" ht="15">
      <c r="A98" s="35" t="s">
        <v>121</v>
      </c>
      <c r="B98" s="7"/>
      <c r="C98" s="11" t="s">
        <v>171</v>
      </c>
      <c r="D98" s="11" t="s">
        <v>171</v>
      </c>
      <c r="E98" s="19">
        <f>C98*0.149999999999864</f>
        <v>0</v>
      </c>
      <c r="F98" s="19">
        <f>D98*0.149999999999864</f>
        <v>0</v>
      </c>
      <c r="G98" s="7"/>
      <c r="H98" s="7" t="s">
        <v>228</v>
      </c>
      <c r="I98" s="7"/>
      <c r="J98" s="7"/>
      <c r="K98" s="83">
        <f>Q48</f>
        <v>12950</v>
      </c>
      <c r="L98" s="83">
        <f>Q48</f>
        <v>12950</v>
      </c>
      <c r="M98" s="19">
        <f>(K98-L98)</f>
        <v>0</v>
      </c>
      <c r="N98" s="21"/>
      <c r="O98" s="21"/>
      <c r="T98" s="21"/>
    </row>
    <row r="99" spans="1:20" ht="15">
      <c r="A99" s="35" t="s">
        <v>122</v>
      </c>
      <c r="B99" s="7"/>
      <c r="C99" s="11" t="s">
        <v>171</v>
      </c>
      <c r="D99" s="11" t="s">
        <v>171</v>
      </c>
      <c r="E99" s="19">
        <f>C99/10</f>
        <v>0</v>
      </c>
      <c r="F99" s="19">
        <f>D99/10</f>
        <v>0</v>
      </c>
      <c r="G99" s="7"/>
      <c r="H99" s="10"/>
      <c r="I99" s="10"/>
      <c r="J99" s="10"/>
      <c r="K99" s="7"/>
      <c r="L99" s="7"/>
      <c r="M99" s="7"/>
      <c r="N99" s="21"/>
      <c r="O99" s="21"/>
      <c r="P99" s="21"/>
      <c r="Q99" s="21"/>
      <c r="R99" s="21"/>
      <c r="S99" s="21"/>
      <c r="T99" s="21"/>
    </row>
    <row r="100" spans="1:20" ht="15">
      <c r="A100" s="35" t="s">
        <v>123</v>
      </c>
      <c r="B100" s="7"/>
      <c r="C100" s="11" t="s">
        <v>171</v>
      </c>
      <c r="D100" s="11" t="s">
        <v>171</v>
      </c>
      <c r="E100" s="19">
        <f>C100*0.107099999999946</f>
        <v>0</v>
      </c>
      <c r="F100" s="19">
        <f>D100*0.107099999999946</f>
        <v>0</v>
      </c>
      <c r="G100" s="7" t="s">
        <v>95</v>
      </c>
      <c r="H100" s="56" t="s">
        <v>124</v>
      </c>
      <c r="I100" s="56"/>
      <c r="J100" s="11" t="s">
        <v>171</v>
      </c>
      <c r="K100" s="7"/>
      <c r="L100" s="7"/>
      <c r="M100" s="19" t="s">
        <v>66</v>
      </c>
      <c r="N100" s="21"/>
      <c r="O100" s="21"/>
      <c r="P100" s="21"/>
      <c r="Q100" s="21"/>
      <c r="R100" s="21"/>
      <c r="S100" s="21"/>
      <c r="T100" s="21"/>
    </row>
    <row r="101" spans="1:20" ht="15" thickBot="1">
      <c r="A101" s="35" t="s">
        <v>125</v>
      </c>
      <c r="B101" s="7"/>
      <c r="C101" s="11" t="s">
        <v>171</v>
      </c>
      <c r="D101" s="11" t="s">
        <v>171</v>
      </c>
      <c r="E101" s="19">
        <f>C101/14</f>
        <v>0</v>
      </c>
      <c r="F101" s="19">
        <f>D101/14</f>
        <v>0</v>
      </c>
      <c r="G101" s="10"/>
      <c r="H101" s="38"/>
      <c r="I101" s="34"/>
      <c r="J101" s="34" t="s">
        <v>126</v>
      </c>
      <c r="K101" s="32">
        <f>(J100*4050)</f>
        <v>0</v>
      </c>
      <c r="L101" s="32">
        <f>(J100*4050)</f>
        <v>0</v>
      </c>
      <c r="M101" s="32">
        <f>(L101-K101)</f>
        <v>0</v>
      </c>
      <c r="N101" s="21"/>
      <c r="O101" s="21"/>
      <c r="P101" s="21" t="s">
        <v>133</v>
      </c>
      <c r="Q101" s="21"/>
      <c r="R101" s="21"/>
      <c r="S101" s="21"/>
      <c r="T101" s="21"/>
    </row>
    <row r="102" spans="1:20" ht="15" thickTop="1">
      <c r="A102" s="35" t="s">
        <v>127</v>
      </c>
      <c r="B102" s="7"/>
      <c r="C102" s="11" t="s">
        <v>171</v>
      </c>
      <c r="D102" s="11" t="s">
        <v>171</v>
      </c>
      <c r="E102" s="19">
        <f>C102/20</f>
        <v>0</v>
      </c>
      <c r="F102" s="19">
        <f>D102/20</f>
        <v>0</v>
      </c>
      <c r="G102" s="7" t="s">
        <v>95</v>
      </c>
      <c r="H102" s="7" t="s">
        <v>128</v>
      </c>
      <c r="I102" s="7"/>
      <c r="J102" s="39"/>
      <c r="K102" s="19">
        <f>K96-K98-K101</f>
        <v>-12950</v>
      </c>
      <c r="L102" s="19">
        <f>L96-L98-L101</f>
        <v>-12950</v>
      </c>
      <c r="M102" s="19">
        <f>(L102-K102)</f>
        <v>0</v>
      </c>
      <c r="N102" s="21"/>
      <c r="O102" s="21"/>
      <c r="P102" s="21">
        <v>3</v>
      </c>
      <c r="Q102" s="21">
        <v>5</v>
      </c>
      <c r="R102" s="21">
        <v>7</v>
      </c>
      <c r="S102" s="21">
        <v>10</v>
      </c>
      <c r="T102" s="21">
        <v>20</v>
      </c>
    </row>
    <row r="103" spans="1:20" ht="15">
      <c r="A103" s="35" t="s">
        <v>129</v>
      </c>
      <c r="B103" s="7"/>
      <c r="C103" s="11" t="s">
        <v>171</v>
      </c>
      <c r="D103" s="11" t="s">
        <v>171</v>
      </c>
      <c r="E103" s="19">
        <f>C103/40</f>
        <v>0</v>
      </c>
      <c r="F103" s="19">
        <f>D103/40</f>
        <v>0</v>
      </c>
      <c r="O103" s="21"/>
      <c r="P103" s="21">
        <v>1</v>
      </c>
      <c r="Q103" s="21">
        <v>2</v>
      </c>
      <c r="R103" s="21">
        <v>3</v>
      </c>
      <c r="S103" s="21">
        <v>4</v>
      </c>
      <c r="T103" s="21">
        <v>5</v>
      </c>
    </row>
    <row r="104" spans="1:20" ht="15" thickBot="1">
      <c r="A104" s="7"/>
      <c r="B104" s="7"/>
      <c r="C104" s="25"/>
      <c r="D104" s="25"/>
      <c r="E104" s="25"/>
      <c r="F104" s="25"/>
      <c r="G104" s="7"/>
      <c r="H104" s="29" t="s">
        <v>130</v>
      </c>
      <c r="K104" s="29">
        <f>K102-K85-K86</f>
        <v>-12950</v>
      </c>
      <c r="L104" s="29">
        <f>L102-L85-L86</f>
        <v>-12950</v>
      </c>
      <c r="N104" s="21"/>
      <c r="O104" s="21"/>
      <c r="P104" s="21">
        <v>6</v>
      </c>
      <c r="Q104" s="21">
        <v>7</v>
      </c>
      <c r="R104" s="21">
        <v>8</v>
      </c>
      <c r="S104" s="21">
        <v>9</v>
      </c>
      <c r="T104" s="21">
        <v>10</v>
      </c>
    </row>
    <row r="105" spans="1:20" ht="15" thickTop="1">
      <c r="A105" s="7" t="s">
        <v>131</v>
      </c>
      <c r="B105" s="7"/>
      <c r="C105" s="7">
        <f>SUM(C97:D103)</f>
        <v>0</v>
      </c>
      <c r="D105" s="7">
        <f>SUM(D96:D103)</f>
        <v>0</v>
      </c>
      <c r="E105" s="19">
        <f>SUM(E96:E103)</f>
        <v>0</v>
      </c>
      <c r="F105" s="19">
        <f>SUM(F96:F103)</f>
        <v>0</v>
      </c>
      <c r="G105" s="7"/>
      <c r="N105" s="21"/>
      <c r="O105" s="21"/>
      <c r="P105" s="21"/>
      <c r="Q105" s="21"/>
      <c r="R105" s="21"/>
      <c r="S105" s="21"/>
      <c r="T105" s="21"/>
    </row>
    <row r="106" spans="7:20" ht="15">
      <c r="G106" s="7"/>
      <c r="I106" s="7" t="s">
        <v>98</v>
      </c>
      <c r="J106" s="7"/>
      <c r="K106" s="19">
        <f>IF(K104&lt;=0,0,HLOOKUP(K104,P60:V61,1))</f>
        <v>0</v>
      </c>
      <c r="L106" s="19">
        <f>IF(L104&lt;=0,0,HLOOKUP(L104,P60:V61,1))</f>
        <v>0</v>
      </c>
      <c r="N106" s="21"/>
      <c r="O106" s="21">
        <f>HLOOKUP(A114,$P$102:$T$103,2)</f>
        <v>1</v>
      </c>
      <c r="P106" s="21">
        <v>1</v>
      </c>
      <c r="Q106" s="21">
        <v>2</v>
      </c>
      <c r="R106" s="21">
        <v>3</v>
      </c>
      <c r="S106" s="21">
        <v>4</v>
      </c>
      <c r="T106" s="21"/>
    </row>
    <row r="107" spans="1:20" ht="15">
      <c r="A107" s="7"/>
      <c r="B107" s="7"/>
      <c r="C107" s="7"/>
      <c r="D107" s="7"/>
      <c r="E107" s="7"/>
      <c r="F107" s="7"/>
      <c r="G107" s="7"/>
      <c r="H107" s="7"/>
      <c r="I107" s="7" t="s">
        <v>102</v>
      </c>
      <c r="J107" s="7"/>
      <c r="K107" s="19">
        <f>IF((K104-K106)&lt;=0,0,(K104-K106))</f>
        <v>0</v>
      </c>
      <c r="L107" s="19">
        <f>IF((L104-L106)&lt;=0,0,(L104-L106))</f>
        <v>0</v>
      </c>
      <c r="M107" s="7"/>
      <c r="N107" s="21"/>
      <c r="O107" s="21">
        <f>HLOOKUP(A115,$P$102:$T$103,2)</f>
        <v>2</v>
      </c>
      <c r="P107" s="21">
        <v>0.4375</v>
      </c>
      <c r="Q107" s="21">
        <v>0.3125</v>
      </c>
      <c r="R107" s="21">
        <v>0.1875</v>
      </c>
      <c r="S107" s="21">
        <v>0.0625</v>
      </c>
      <c r="T107" s="21"/>
    </row>
    <row r="108" spans="1:20" ht="15.75" thickBot="1">
      <c r="A108" s="56" t="s">
        <v>132</v>
      </c>
      <c r="B108" s="56"/>
      <c r="C108" s="56"/>
      <c r="D108" s="56"/>
      <c r="E108" s="59"/>
      <c r="F108" s="56"/>
      <c r="G108" s="7"/>
      <c r="H108" s="7"/>
      <c r="I108" s="7" t="s">
        <v>103</v>
      </c>
      <c r="J108" s="7"/>
      <c r="K108" s="52">
        <f>IF(K104&lt;=0,0,HLOOKUP(K104,P57:V58,2))</f>
        <v>0</v>
      </c>
      <c r="L108" s="52">
        <f>IF(L104&lt;=0,0,HLOOKUP(L104,P57:V58,2))</f>
        <v>0</v>
      </c>
      <c r="M108" s="7"/>
      <c r="N108" s="21"/>
      <c r="O108" s="21">
        <f>HLOOKUP(A116,$P$102:$T$103,2)</f>
        <v>3</v>
      </c>
      <c r="P108" s="21">
        <v>0.262499999999818</v>
      </c>
      <c r="Q108" s="21">
        <v>0.1875</v>
      </c>
      <c r="R108" s="21">
        <v>0.112499999999955</v>
      </c>
      <c r="S108" s="21">
        <v>0.0374999999999659</v>
      </c>
      <c r="T108" s="21"/>
    </row>
    <row r="109" spans="1:20" ht="15" thickTop="1">
      <c r="A109" s="16"/>
      <c r="B109" s="16"/>
      <c r="C109" s="16"/>
      <c r="D109" s="16"/>
      <c r="E109" s="16"/>
      <c r="F109" s="16"/>
      <c r="G109" s="7"/>
      <c r="H109" s="7"/>
      <c r="I109" s="7" t="s">
        <v>104</v>
      </c>
      <c r="J109" s="7"/>
      <c r="K109" s="19">
        <f>IF(K107=0,0,(K107*K108))</f>
        <v>0</v>
      </c>
      <c r="L109" s="19">
        <f>IF(L107=0,0,(L107*L108))</f>
        <v>0</v>
      </c>
      <c r="M109" s="7"/>
      <c r="N109" s="21"/>
      <c r="O109" s="21">
        <f>HLOOKUP(A117,$P$102:$T$103,2)</f>
        <v>5</v>
      </c>
      <c r="P109" s="21">
        <v>0.1875</v>
      </c>
      <c r="Q109" s="21">
        <v>0.133899999999812</v>
      </c>
      <c r="R109" s="21">
        <v>0.0803999999999405</v>
      </c>
      <c r="S109" s="21">
        <v>0.0267999999999802</v>
      </c>
      <c r="T109" s="21"/>
    </row>
    <row r="110" spans="1:20" ht="15">
      <c r="A110" s="7" t="s">
        <v>134</v>
      </c>
      <c r="B110" s="7"/>
      <c r="C110" s="7"/>
      <c r="D110" s="7"/>
      <c r="E110" s="19"/>
      <c r="F110" s="7"/>
      <c r="G110" s="7"/>
      <c r="H110" s="7"/>
      <c r="I110" s="7" t="s">
        <v>106</v>
      </c>
      <c r="J110" s="7"/>
      <c r="K110" s="19">
        <f>IF(K106=0,0,HLOOKUP(K104,P54:V55,2))</f>
        <v>0</v>
      </c>
      <c r="L110" s="19">
        <f>IF(L106=0,0,HLOOKUP(L104,P54:V55,2))</f>
        <v>0</v>
      </c>
      <c r="M110" s="7"/>
      <c r="N110" s="21"/>
      <c r="O110" s="21"/>
      <c r="P110" s="21">
        <v>0.131299999999783</v>
      </c>
      <c r="Q110" s="21">
        <v>0.0937999999999874</v>
      </c>
      <c r="R110" s="21">
        <v>0.0562999999999647</v>
      </c>
      <c r="S110" s="21">
        <v>0.0187999999999988</v>
      </c>
      <c r="T110" s="21"/>
    </row>
    <row r="111" spans="1:20" ht="15">
      <c r="A111" s="7" t="s">
        <v>135</v>
      </c>
      <c r="B111" s="7"/>
      <c r="C111" s="7"/>
      <c r="D111" s="7" t="s">
        <v>136</v>
      </c>
      <c r="E111" s="7"/>
      <c r="F111" s="7"/>
      <c r="G111" s="7"/>
      <c r="M111" s="7"/>
      <c r="N111" s="21"/>
      <c r="O111" s="21"/>
      <c r="P111" s="21">
        <v>0.0656299999999419</v>
      </c>
      <c r="Q111" s="21">
        <v>0.0468799999999874</v>
      </c>
      <c r="R111" s="21">
        <v>0.028129999999976</v>
      </c>
      <c r="S111" s="21">
        <v>0.00937999999999306</v>
      </c>
      <c r="T111" s="21"/>
    </row>
    <row r="112" spans="1:20" ht="15.75" thickBot="1">
      <c r="A112" s="7" t="s">
        <v>137</v>
      </c>
      <c r="B112" s="7" t="s">
        <v>138</v>
      </c>
      <c r="C112" s="13" t="s">
        <v>109</v>
      </c>
      <c r="D112" s="13" t="s">
        <v>110</v>
      </c>
      <c r="E112" s="13" t="s">
        <v>111</v>
      </c>
      <c r="F112" s="13" t="s">
        <v>112</v>
      </c>
      <c r="G112" s="7"/>
      <c r="H112" s="56" t="s">
        <v>192</v>
      </c>
      <c r="K112" s="29">
        <f>K109+K110</f>
        <v>0</v>
      </c>
      <c r="L112" s="29">
        <f>L109+L110</f>
        <v>0</v>
      </c>
      <c r="N112" s="21"/>
      <c r="O112" s="21"/>
      <c r="P112" s="21">
        <v>0.291699999999764</v>
      </c>
      <c r="Q112" s="21">
        <v>0.208299999999781</v>
      </c>
      <c r="R112" s="21">
        <v>0.125</v>
      </c>
      <c r="S112" s="21">
        <v>0.0416999999999916</v>
      </c>
      <c r="T112" s="21"/>
    </row>
    <row r="113" spans="1:19" ht="15" thickTop="1">
      <c r="A113" s="16"/>
      <c r="B113" s="16"/>
      <c r="C113" s="16"/>
      <c r="D113" s="16"/>
      <c r="E113" s="16"/>
      <c r="F113" s="16"/>
      <c r="G113" s="7"/>
      <c r="N113" s="21"/>
      <c r="O113" s="21"/>
      <c r="P113" s="21">
        <v>0.174999999999955</v>
      </c>
      <c r="Q113" s="21">
        <v>0.125</v>
      </c>
      <c r="R113" s="21">
        <v>0.0749999999999318</v>
      </c>
      <c r="S113" s="21">
        <v>0.0249999999999773</v>
      </c>
    </row>
    <row r="114" spans="1:19" ht="15">
      <c r="A114" s="7">
        <v>3</v>
      </c>
      <c r="B114" s="7">
        <v>1</v>
      </c>
      <c r="C114" s="11" t="s">
        <v>171</v>
      </c>
      <c r="D114" s="11" t="s">
        <v>171</v>
      </c>
      <c r="E114" s="19">
        <f>C114*HLOOKUP($B114,$P$106:$S$116,O106+1)</f>
        <v>0</v>
      </c>
      <c r="F114" s="19">
        <f>D114*HLOOKUP($B114,$P$106:$S$116,O106+1)</f>
        <v>0</v>
      </c>
      <c r="G114" s="7"/>
      <c r="H114" s="66" t="s">
        <v>193</v>
      </c>
      <c r="J114" s="11" t="s">
        <v>171</v>
      </c>
      <c r="K114" s="29">
        <f>J114*Q49</f>
        <v>0</v>
      </c>
      <c r="L114" s="29">
        <f>J114*Q49</f>
        <v>0</v>
      </c>
      <c r="N114" s="21"/>
      <c r="O114" s="21">
        <f>HLOOKUP(A122,$P$102:$T$104,3)</f>
        <v>6</v>
      </c>
      <c r="P114" s="21">
        <v>0.125</v>
      </c>
      <c r="Q114" s="21">
        <v>0.0892999999999802</v>
      </c>
      <c r="R114" s="21">
        <v>0.0535999999999603</v>
      </c>
      <c r="S114" s="21">
        <v>0.0178999999999974</v>
      </c>
    </row>
    <row r="115" spans="1:19" ht="15">
      <c r="A115" s="7">
        <v>5</v>
      </c>
      <c r="B115" s="7">
        <v>1</v>
      </c>
      <c r="C115" s="11" t="s">
        <v>171</v>
      </c>
      <c r="D115" s="11" t="s">
        <v>171</v>
      </c>
      <c r="E115" s="19">
        <f>C115*HLOOKUP($B115,$P$106:$S$116,O107+1)</f>
        <v>0</v>
      </c>
      <c r="F115" s="19">
        <f>D115*HLOOKUP($B115,$P$106:$S$116,O107+1)</f>
        <v>0</v>
      </c>
      <c r="G115" s="7"/>
      <c r="N115" s="21"/>
      <c r="O115" s="21">
        <f>HLOOKUP(A123,$P$102:$T$104,3)</f>
        <v>8</v>
      </c>
      <c r="P115" s="21">
        <v>0.0874999999999773</v>
      </c>
      <c r="Q115" s="21">
        <v>0.0625</v>
      </c>
      <c r="R115" s="21">
        <v>0.0374999999999659</v>
      </c>
      <c r="S115" s="21">
        <v>0.0124999999999886</v>
      </c>
    </row>
    <row r="116" spans="1:19" ht="15">
      <c r="A116" s="7">
        <v>7</v>
      </c>
      <c r="B116" s="7">
        <v>1</v>
      </c>
      <c r="C116" s="11" t="s">
        <v>171</v>
      </c>
      <c r="D116" s="11" t="s">
        <v>171</v>
      </c>
      <c r="E116" s="19">
        <f>C116*HLOOKUP($B116,$P$106:$S$116,O108+1)</f>
        <v>0</v>
      </c>
      <c r="F116" s="19">
        <f>D116*HLOOKUP($B116,$P$106:$S$116,O108+1)</f>
        <v>0</v>
      </c>
      <c r="G116" s="7"/>
      <c r="H116" s="66" t="s">
        <v>229</v>
      </c>
      <c r="K116" s="67" t="s">
        <v>171</v>
      </c>
      <c r="L116" s="67" t="s">
        <v>172</v>
      </c>
      <c r="N116" s="21"/>
      <c r="O116" s="21">
        <f>HLOOKUP(A124,$P$102:$T$104,3)</f>
        <v>9</v>
      </c>
      <c r="P116" s="21">
        <v>0.0437499999999886</v>
      </c>
      <c r="Q116" s="21">
        <v>0.03125</v>
      </c>
      <c r="R116" s="21">
        <v>0.0187499999999829</v>
      </c>
      <c r="S116" s="21">
        <v>0.00624999999999432</v>
      </c>
    </row>
    <row r="117" spans="1:19" ht="15">
      <c r="A117" s="7">
        <v>20</v>
      </c>
      <c r="B117" s="7">
        <v>1</v>
      </c>
      <c r="C117" s="11" t="s">
        <v>171</v>
      </c>
      <c r="D117" s="11" t="s">
        <v>171</v>
      </c>
      <c r="E117" s="19">
        <f>C117*HLOOKUP($B117,$P$106:$S$116,O109+1)</f>
        <v>0</v>
      </c>
      <c r="F117" s="19">
        <f>D117*HLOOKUP($B117,$P$106:$S$116,O109+1)</f>
        <v>0</v>
      </c>
      <c r="G117" s="7"/>
      <c r="H117" s="66" t="s">
        <v>195</v>
      </c>
      <c r="K117" s="67" t="s">
        <v>171</v>
      </c>
      <c r="L117" s="67" t="s">
        <v>172</v>
      </c>
      <c r="N117" s="21"/>
      <c r="O117" s="21">
        <f>HLOOKUP(A125,$P$102:$T$104,3)</f>
        <v>10</v>
      </c>
      <c r="P117" s="21"/>
      <c r="Q117" s="21"/>
      <c r="R117" s="21"/>
      <c r="S117" s="21"/>
    </row>
    <row r="118" spans="1:19" ht="15" thickBot="1">
      <c r="A118" s="7"/>
      <c r="B118" s="7"/>
      <c r="C118" s="25"/>
      <c r="D118" s="25"/>
      <c r="E118" s="25"/>
      <c r="F118" s="25"/>
      <c r="G118" s="7"/>
      <c r="N118" s="21"/>
      <c r="O118" s="21"/>
      <c r="P118" s="21" t="s">
        <v>154</v>
      </c>
      <c r="Q118" s="21"/>
      <c r="R118" s="21"/>
      <c r="S118" s="21"/>
    </row>
    <row r="119" spans="1:19" ht="15.75" thickTop="1">
      <c r="A119" s="7" t="s">
        <v>144</v>
      </c>
      <c r="B119" s="7"/>
      <c r="C119" s="7">
        <f>SUM(C114:C117)</f>
        <v>0</v>
      </c>
      <c r="D119" s="7">
        <f>SUM(D114:D117)</f>
        <v>0</v>
      </c>
      <c r="E119" s="19">
        <f>SUM(E114:E117)</f>
        <v>0</v>
      </c>
      <c r="F119" s="19">
        <f>SUM(F114:F117)</f>
        <v>0</v>
      </c>
      <c r="G119" s="7"/>
      <c r="H119" s="66" t="s">
        <v>196</v>
      </c>
      <c r="K119" s="29">
        <f>IF((K112-K114-K116-K117)&lt;0,0,(K112-K114-K116-K117))</f>
        <v>0</v>
      </c>
      <c r="L119" s="29">
        <f>IF((L112-L114-L116-L117)&lt;0,0,(L112-L114-L116-L117))</f>
        <v>0</v>
      </c>
      <c r="N119" s="21"/>
      <c r="O119" s="21">
        <v>0</v>
      </c>
      <c r="P119" s="21">
        <v>28080</v>
      </c>
      <c r="Q119" s="21">
        <v>92230</v>
      </c>
      <c r="R119" s="21">
        <v>171220</v>
      </c>
      <c r="S119" s="21">
        <v>99999999</v>
      </c>
    </row>
    <row r="120" spans="1:19" ht="15" thickBot="1">
      <c r="A120" s="7" t="s">
        <v>147</v>
      </c>
      <c r="B120" s="7"/>
      <c r="C120" s="7"/>
      <c r="D120" s="19"/>
      <c r="E120" s="19"/>
      <c r="F120" s="19"/>
      <c r="G120" s="7"/>
      <c r="N120" s="21"/>
      <c r="O120" s="53">
        <v>0.0535</v>
      </c>
      <c r="P120" s="53">
        <v>0.068</v>
      </c>
      <c r="Q120" s="53">
        <v>0.0785</v>
      </c>
      <c r="R120" s="53">
        <v>0.0985</v>
      </c>
      <c r="S120" s="53">
        <v>0.0985</v>
      </c>
    </row>
    <row r="121" spans="1:19" ht="15" thickTop="1">
      <c r="A121" s="13" t="s">
        <v>149</v>
      </c>
      <c r="B121" s="7"/>
      <c r="C121" s="16"/>
      <c r="D121" s="16"/>
      <c r="E121" s="16"/>
      <c r="F121" s="16"/>
      <c r="G121" s="7"/>
      <c r="N121" s="21"/>
      <c r="O121" s="21">
        <v>0</v>
      </c>
      <c r="P121" s="21">
        <f>P119*O120</f>
        <v>1502.28</v>
      </c>
      <c r="Q121" s="21">
        <f>((Q119-P119)*P120)+P121</f>
        <v>5864.4800000000005</v>
      </c>
      <c r="R121" s="21">
        <f>((R119-Q119)*Q120)+Q121</f>
        <v>12065.195</v>
      </c>
      <c r="S121" s="21"/>
    </row>
    <row r="122" spans="1:19" ht="15">
      <c r="A122" s="7">
        <v>3</v>
      </c>
      <c r="B122" s="7">
        <v>1</v>
      </c>
      <c r="C122" s="11" t="s">
        <v>171</v>
      </c>
      <c r="D122" s="11" t="s">
        <v>171</v>
      </c>
      <c r="E122" s="19">
        <f>C122*HLOOKUP($B122,$P$106:$S$116,O114+1)</f>
        <v>0</v>
      </c>
      <c r="F122" s="19">
        <f>D122*HLOOKUP($B122,$P$106:$S$116,O114+1)</f>
        <v>0</v>
      </c>
      <c r="G122" s="7"/>
      <c r="H122" s="40" t="s">
        <v>139</v>
      </c>
      <c r="I122" s="40"/>
      <c r="J122" s="40"/>
      <c r="K122" s="40">
        <f>R85</f>
        <v>0</v>
      </c>
      <c r="L122" s="40">
        <f>S85</f>
        <v>0</v>
      </c>
      <c r="M122" s="37">
        <f>(L122-K122)</f>
        <v>0</v>
      </c>
      <c r="N122" s="21"/>
      <c r="O122" s="21">
        <v>0</v>
      </c>
      <c r="P122" s="21">
        <v>28080</v>
      </c>
      <c r="Q122" s="21">
        <v>92230</v>
      </c>
      <c r="R122" s="21">
        <v>171220</v>
      </c>
      <c r="S122" s="21"/>
    </row>
    <row r="123" spans="1:19" ht="15">
      <c r="A123" s="7">
        <v>7</v>
      </c>
      <c r="B123" s="7">
        <v>1</v>
      </c>
      <c r="C123" s="11" t="s">
        <v>171</v>
      </c>
      <c r="D123" s="11" t="s">
        <v>171</v>
      </c>
      <c r="E123" s="19">
        <f>C123*HLOOKUP($B123,$P$106:$S$116,O115+1)</f>
        <v>0</v>
      </c>
      <c r="F123" s="19">
        <f>D123*HLOOKUP($B123,$P$106:$S$116,O115+1)</f>
        <v>0</v>
      </c>
      <c r="G123" s="7"/>
      <c r="H123" t="s">
        <v>212</v>
      </c>
      <c r="I123"/>
      <c r="J123"/>
      <c r="K123">
        <f>R90</f>
        <v>0</v>
      </c>
      <c r="L123">
        <f>S90</f>
        <v>0</v>
      </c>
      <c r="M123" s="41">
        <f>(L123-K123)</f>
        <v>0</v>
      </c>
      <c r="N123" s="21"/>
      <c r="O123" s="21" t="s">
        <v>159</v>
      </c>
      <c r="P123" s="21"/>
      <c r="Q123" s="22">
        <f>IF($K$135&gt;0,HLOOKUP($K$135,$O$119:$S$121,3),0)</f>
        <v>0</v>
      </c>
      <c r="R123" s="22">
        <f>IF($L$135&gt;0,HLOOKUP($L$135,$O$119:$S$121,3),0)</f>
        <v>0</v>
      </c>
      <c r="S123" s="21"/>
    </row>
    <row r="124" spans="1:19" ht="15">
      <c r="A124" s="7">
        <v>10</v>
      </c>
      <c r="B124" s="7">
        <v>1</v>
      </c>
      <c r="C124" s="11" t="s">
        <v>171</v>
      </c>
      <c r="D124" s="11" t="s">
        <v>171</v>
      </c>
      <c r="E124" s="19">
        <f>C124*HLOOKUP($B124,$P$106:$S$116,O116+1)</f>
        <v>0</v>
      </c>
      <c r="F124" s="19">
        <f>D124*HLOOKUP($B124,$P$106:$S$116,O116+1)</f>
        <v>0</v>
      </c>
      <c r="G124" s="7"/>
      <c r="H124" t="s">
        <v>201</v>
      </c>
      <c r="I124"/>
      <c r="J124"/>
      <c r="K124">
        <f>R91</f>
        <v>0</v>
      </c>
      <c r="L124">
        <f>S91</f>
        <v>0</v>
      </c>
      <c r="M124" s="41">
        <f>(L124-K124)</f>
        <v>0</v>
      </c>
      <c r="N124" s="21"/>
      <c r="O124" s="21" t="s">
        <v>160</v>
      </c>
      <c r="P124" s="21"/>
      <c r="Q124" s="22">
        <f>IF($K$135&gt;0,K135-HLOOKUP($K$135,$O$119:$S$122,4),0)</f>
        <v>0</v>
      </c>
      <c r="R124" s="22">
        <f>IF($L$135&gt;0,L135-HLOOKUP($L$135,$O$119:$S$122,4),0)</f>
        <v>0</v>
      </c>
      <c r="S124" s="21"/>
    </row>
    <row r="125" spans="1:19" ht="15" thickBot="1">
      <c r="A125" s="7">
        <v>20</v>
      </c>
      <c r="B125" s="7">
        <v>1</v>
      </c>
      <c r="C125" s="11" t="s">
        <v>171</v>
      </c>
      <c r="D125" s="11" t="s">
        <v>171</v>
      </c>
      <c r="E125" s="19">
        <f>C125*HLOOKUP($B125,$P$106:$S$116,O117+1)</f>
        <v>0</v>
      </c>
      <c r="F125" s="19">
        <f>D125*HLOOKUP($B125,$P$106:$S$116,O117+1)</f>
        <v>0</v>
      </c>
      <c r="G125" s="7"/>
      <c r="H125" s="36" t="s">
        <v>140</v>
      </c>
      <c r="I125" s="36"/>
      <c r="J125" s="36"/>
      <c r="K125" s="42">
        <f>R95</f>
        <v>0</v>
      </c>
      <c r="L125" s="42">
        <f>S95</f>
        <v>0</v>
      </c>
      <c r="M125" s="43">
        <f>(L125-K125)</f>
        <v>0</v>
      </c>
      <c r="N125" s="21"/>
      <c r="O125" s="21" t="s">
        <v>161</v>
      </c>
      <c r="P125" s="21"/>
      <c r="Q125" s="22">
        <f>IF($K$135&gt;0,HLOOKUP($K$135,$O$119:$S$121,2)*Q124,0)</f>
        <v>0</v>
      </c>
      <c r="R125" s="22">
        <f>IF($L$135&gt;0,HLOOKUP($L$135,$O$119:$S$121,2)*R124,0)</f>
        <v>0</v>
      </c>
      <c r="S125" s="21"/>
    </row>
    <row r="126" spans="1:19" ht="15" customHeight="1" thickBot="1" thickTop="1">
      <c r="A126" s="7"/>
      <c r="B126" s="7"/>
      <c r="C126" s="25"/>
      <c r="D126" s="25"/>
      <c r="E126" s="25"/>
      <c r="F126" s="25"/>
      <c r="G126" s="7"/>
      <c r="H126" s="44" t="s">
        <v>213</v>
      </c>
      <c r="I126" s="44"/>
      <c r="J126" s="44"/>
      <c r="K126" s="45">
        <f>K119+K122+K125</f>
        <v>0</v>
      </c>
      <c r="L126" s="45">
        <f>L119+L122+L125</f>
        <v>0</v>
      </c>
      <c r="M126" s="45">
        <f>(L126-K126)</f>
        <v>0</v>
      </c>
      <c r="N126" s="21"/>
      <c r="O126" s="21" t="s">
        <v>162</v>
      </c>
      <c r="P126" s="21"/>
      <c r="Q126" s="22">
        <f>Q123+Q125</f>
        <v>0</v>
      </c>
      <c r="R126" s="22">
        <f>R123+R125</f>
        <v>0</v>
      </c>
      <c r="S126" s="21"/>
    </row>
    <row r="127" spans="1:19" ht="15" customHeight="1" thickTop="1">
      <c r="A127" s="7" t="s">
        <v>155</v>
      </c>
      <c r="B127" s="7"/>
      <c r="C127" s="7">
        <f>SUM(C122:C125)</f>
        <v>0</v>
      </c>
      <c r="D127" s="7">
        <f>SUM(D122:D125)</f>
        <v>0</v>
      </c>
      <c r="E127" s="19">
        <f>SUM(E122:E125)</f>
        <v>0</v>
      </c>
      <c r="F127" s="19">
        <f>SUM(F122:F125)</f>
        <v>0</v>
      </c>
      <c r="G127" s="7"/>
      <c r="H127" s="46">
        <v>0.12399999999991</v>
      </c>
      <c r="I127" s="7" t="s">
        <v>141</v>
      </c>
      <c r="J127" s="7"/>
      <c r="K127" s="19">
        <f>IF((K78&gt;=R67),(R66*0.124),(IF(K78&gt;433.13,K78*0.9235*0.124,0)))</f>
        <v>0</v>
      </c>
      <c r="L127" s="19">
        <f>IF((L78&gt;=R67),(R66*0.124),(IF(L78&gt;433.13,L78*0.9235*0.124,0)))</f>
        <v>0</v>
      </c>
      <c r="M127" s="13" t="s">
        <v>142</v>
      </c>
      <c r="N127" s="21"/>
      <c r="O127" s="21"/>
      <c r="P127" s="21"/>
      <c r="Q127" s="21"/>
      <c r="R127" s="21"/>
      <c r="S127" s="21"/>
    </row>
    <row r="128" spans="1:19" ht="15" thickBot="1">
      <c r="A128" s="13" t="s">
        <v>66</v>
      </c>
      <c r="B128" s="7"/>
      <c r="C128" s="25"/>
      <c r="D128" s="25"/>
      <c r="E128" s="25"/>
      <c r="F128" s="25"/>
      <c r="G128" s="7"/>
      <c r="H128" s="46">
        <v>0.0289999999999964</v>
      </c>
      <c r="I128" s="7" t="s">
        <v>143</v>
      </c>
      <c r="J128" s="7"/>
      <c r="K128" s="19">
        <f>IF(K78&gt;433.13,K78*0.9235*0.029,0)</f>
        <v>0</v>
      </c>
      <c r="L128" s="19">
        <f>IF(L78&gt;433.13,L78*0.9235*0.029,0)</f>
        <v>0</v>
      </c>
      <c r="M128" s="7"/>
      <c r="N128" s="21"/>
      <c r="O128" s="21"/>
      <c r="P128" s="21"/>
      <c r="Q128" s="21"/>
      <c r="R128" s="21"/>
      <c r="S128" s="21"/>
    </row>
    <row r="129" spans="1:24" ht="15" thickTop="1">
      <c r="A129" s="7"/>
      <c r="B129" s="7" t="s">
        <v>156</v>
      </c>
      <c r="C129" s="7"/>
      <c r="D129" s="7"/>
      <c r="E129" s="19">
        <f>E105+E119+E127</f>
        <v>0</v>
      </c>
      <c r="F129" s="13" t="s">
        <v>157</v>
      </c>
      <c r="G129" s="7"/>
      <c r="H129" s="7"/>
      <c r="I129" s="7" t="s">
        <v>145</v>
      </c>
      <c r="J129" s="7" t="s">
        <v>146</v>
      </c>
      <c r="K129" s="19">
        <f>IF((K78&lt;1600),IF(C49&gt;2400,1600*0.133,(C49*0.666*0.133)),0)</f>
        <v>0</v>
      </c>
      <c r="L129" s="19">
        <f>IF((L78&lt;1600),IF(E49&gt;2400,1600*0.133,(E49*0.666*0.133)),0)</f>
        <v>0</v>
      </c>
      <c r="M129" s="13" t="s">
        <v>142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ht="15" thickBot="1">
      <c r="A130" s="7"/>
      <c r="B130" s="7" t="s">
        <v>158</v>
      </c>
      <c r="C130" s="7"/>
      <c r="D130" s="7"/>
      <c r="E130" s="19"/>
      <c r="F130" s="19">
        <f>F105+F119+F127</f>
        <v>0</v>
      </c>
      <c r="G130" s="7"/>
      <c r="H130" s="7"/>
      <c r="I130" s="36" t="s">
        <v>148</v>
      </c>
      <c r="J130" s="36"/>
      <c r="K130" s="45">
        <f>IF(K127+K128&gt;K129,K127+K128,K129)</f>
        <v>0</v>
      </c>
      <c r="L130" s="45">
        <f>IF(L127+L128&gt;L129,L127+L128,L129)</f>
        <v>0</v>
      </c>
      <c r="M130" s="45">
        <f>(L130-K130)</f>
        <v>0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14" ht="16.5" thickBot="1" thickTop="1">
      <c r="A131" s="7"/>
      <c r="B131" s="7" t="s">
        <v>215</v>
      </c>
      <c r="C131" s="7"/>
      <c r="D131" s="7"/>
      <c r="E131" s="19"/>
      <c r="F131" s="19">
        <f>(E129+F130)</f>
        <v>0</v>
      </c>
      <c r="G131" s="7"/>
      <c r="H131" s="78" t="s">
        <v>214</v>
      </c>
      <c r="I131" s="36"/>
      <c r="J131" s="36"/>
      <c r="K131" s="37">
        <f>(K126+K130)</f>
        <v>0</v>
      </c>
      <c r="L131" s="37">
        <f>(L126+L130)</f>
        <v>0</v>
      </c>
      <c r="M131" s="37">
        <f>(L131-K131)</f>
        <v>0</v>
      </c>
      <c r="N131" s="21"/>
    </row>
    <row r="132" spans="1:14" ht="15.75" thickTop="1">
      <c r="A132" s="7"/>
      <c r="B132" s="7"/>
      <c r="C132" s="7"/>
      <c r="D132" s="7"/>
      <c r="E132" s="19" t="s">
        <v>66</v>
      </c>
      <c r="F132" s="7"/>
      <c r="G132" s="7"/>
      <c r="H132" s="7"/>
      <c r="I132" s="58" t="s">
        <v>198</v>
      </c>
      <c r="J132" s="56"/>
      <c r="K132" s="63"/>
      <c r="L132" s="63"/>
      <c r="M132" s="47"/>
      <c r="N132" s="21"/>
    </row>
    <row r="133" spans="2:14" ht="15">
      <c r="B133" s="7" t="s">
        <v>236</v>
      </c>
      <c r="C133" s="7"/>
      <c r="D133" s="7"/>
      <c r="E133" s="7"/>
      <c r="F133" s="7"/>
      <c r="H133" s="7"/>
      <c r="I133" s="7" t="s">
        <v>178</v>
      </c>
      <c r="J133" s="7"/>
      <c r="K133" s="7"/>
      <c r="L133" s="7"/>
      <c r="M133" s="7"/>
      <c r="N133" s="21"/>
    </row>
    <row r="134" spans="2:14" ht="17.25" customHeight="1">
      <c r="B134" s="7" t="s">
        <v>174</v>
      </c>
      <c r="C134" s="7"/>
      <c r="D134" s="7"/>
      <c r="E134" s="7"/>
      <c r="F134" s="7"/>
      <c r="H134" s="7"/>
      <c r="I134" s="7"/>
      <c r="J134" s="7"/>
      <c r="K134" s="7" t="s">
        <v>150</v>
      </c>
      <c r="L134" s="19" t="s">
        <v>151</v>
      </c>
      <c r="M134" s="7" t="s">
        <v>152</v>
      </c>
      <c r="N134" s="21"/>
    </row>
    <row r="135" spans="2:14" ht="19.5" customHeight="1">
      <c r="B135" s="29" t="s">
        <v>175</v>
      </c>
      <c r="H135" s="7"/>
      <c r="I135" s="7" t="s">
        <v>153</v>
      </c>
      <c r="J135" s="7"/>
      <c r="K135" s="19">
        <f>K102</f>
        <v>-12950</v>
      </c>
      <c r="L135" s="19">
        <f>L102</f>
        <v>-12950</v>
      </c>
      <c r="M135" s="19">
        <f>L135-K135</f>
        <v>0</v>
      </c>
      <c r="N135" s="21"/>
    </row>
    <row r="136" spans="2:13" ht="15">
      <c r="B136" s="7"/>
      <c r="C136" s="7"/>
      <c r="D136" s="7"/>
      <c r="E136" s="7"/>
      <c r="F136" s="7"/>
      <c r="H136" s="78" t="s">
        <v>216</v>
      </c>
      <c r="I136" s="36"/>
      <c r="J136" s="36"/>
      <c r="K136" s="37">
        <f>Q126</f>
        <v>0</v>
      </c>
      <c r="L136" s="37">
        <f>R126</f>
        <v>0</v>
      </c>
      <c r="M136" s="37">
        <f>L136-K136</f>
        <v>0</v>
      </c>
    </row>
    <row r="137" spans="8:13" ht="15">
      <c r="H137" s="7"/>
      <c r="I137" s="7"/>
      <c r="J137" s="7"/>
      <c r="K137" s="7"/>
      <c r="L137" s="7"/>
      <c r="M137" s="7"/>
    </row>
    <row r="138" spans="3:13" ht="21">
      <c r="C138" s="75"/>
      <c r="D138" s="76"/>
      <c r="E138" s="76"/>
      <c r="F138" s="76"/>
      <c r="G138" s="76"/>
      <c r="H138" s="76"/>
      <c r="I138" s="77"/>
      <c r="J138" s="9"/>
      <c r="K138" s="9"/>
      <c r="L138" s="9"/>
      <c r="M138" s="7"/>
    </row>
    <row r="139" spans="3:24" ht="20.25">
      <c r="C139" s="76"/>
      <c r="D139" s="76"/>
      <c r="E139" s="76"/>
      <c r="F139" s="76"/>
      <c r="G139" s="76"/>
      <c r="H139" s="77"/>
      <c r="I139" s="9"/>
      <c r="J139" s="9"/>
      <c r="K139" s="10"/>
      <c r="L139" s="10"/>
      <c r="M139" s="10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20.25" customHeight="1">
      <c r="A140" s="7"/>
      <c r="B140" s="86" t="s">
        <v>176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10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8" customHeight="1">
      <c r="A141" s="7"/>
      <c r="B141" s="87" t="s">
        <v>224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10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8.75" customHeight="1">
      <c r="A142" s="7"/>
      <c r="B142" s="86" t="s">
        <v>164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10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15">
      <c r="A199" s="10"/>
      <c r="B199" s="10"/>
      <c r="C199" s="10"/>
      <c r="D199" s="10"/>
      <c r="E199" s="10"/>
      <c r="F199" s="10"/>
      <c r="G199" s="10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</sheetData>
  <sheetProtection password="CC6A" sheet="1"/>
  <mergeCells count="7">
    <mergeCell ref="B140:L140"/>
    <mergeCell ref="B141:L141"/>
    <mergeCell ref="B142:L142"/>
    <mergeCell ref="B1:K1"/>
    <mergeCell ref="A68:L68"/>
    <mergeCell ref="A69:L69"/>
    <mergeCell ref="A70:L70"/>
  </mergeCells>
  <printOptions/>
  <pageMargins left="0.5" right="0.5" top="0.5" bottom="0.5" header="0.5" footer="0.5"/>
  <pageSetup fitToHeight="1" fitToWidth="1" horizontalDpi="300" verticalDpi="300" orientation="portrait" scale="61" r:id="rId3"/>
  <rowBreaks count="1" manualBreakCount="1">
    <brk id="64" max="6553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 Business Management</dc:creator>
  <cp:keywords/>
  <dc:description/>
  <cp:lastModifiedBy>Josh Tjosaas</cp:lastModifiedBy>
  <cp:lastPrinted>2018-10-09T15:53:23Z</cp:lastPrinted>
  <dcterms:created xsi:type="dcterms:W3CDTF">1998-10-14T21:38:51Z</dcterms:created>
  <dcterms:modified xsi:type="dcterms:W3CDTF">2022-09-27T20:34:38Z</dcterms:modified>
  <cp:category/>
  <cp:version/>
  <cp:contentType/>
  <cp:contentStatus/>
</cp:coreProperties>
</file>